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19428" windowHeight="10428"/>
  </bookViews>
  <sheets>
    <sheet name="0" sheetId="54" r:id="rId1"/>
    <sheet name="1" sheetId="87" r:id="rId2"/>
    <sheet name="2" sheetId="88" r:id="rId3"/>
    <sheet name="3" sheetId="8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'0'!$A$1:$V$21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87" l="1"/>
  <c r="B20" i="87"/>
  <c r="A44" i="87"/>
  <c r="A17" i="88" s="1"/>
  <c r="A17" i="89" l="1"/>
  <c r="D6" i="54"/>
  <c r="A3" i="89" l="1"/>
  <c r="B15" i="89"/>
  <c r="B14" i="89"/>
  <c r="B13" i="89"/>
  <c r="B12" i="89"/>
  <c r="B11" i="89"/>
  <c r="B10" i="89"/>
  <c r="B9" i="89"/>
  <c r="B8" i="89"/>
  <c r="B7" i="89"/>
  <c r="B6" i="89"/>
  <c r="B5" i="89"/>
  <c r="B4" i="89"/>
  <c r="A4" i="89"/>
  <c r="A1" i="89"/>
  <c r="B42" i="87" l="1"/>
  <c r="B41" i="87"/>
  <c r="B40" i="87"/>
  <c r="B39" i="87"/>
  <c r="B38" i="87"/>
  <c r="B37" i="87"/>
  <c r="B36" i="87"/>
  <c r="B35" i="87"/>
  <c r="B34" i="87"/>
  <c r="B33" i="87"/>
  <c r="B32" i="87"/>
  <c r="B31" i="87"/>
  <c r="B30" i="87"/>
  <c r="B29" i="87"/>
  <c r="B28" i="87"/>
  <c r="B26" i="87"/>
  <c r="B25" i="87"/>
  <c r="B24" i="87"/>
  <c r="B23" i="87"/>
  <c r="B22" i="87"/>
  <c r="B21" i="87"/>
  <c r="B19" i="87"/>
  <c r="B18" i="87"/>
  <c r="B17" i="87"/>
  <c r="B16" i="87"/>
  <c r="A3" i="88"/>
  <c r="A3" i="87" l="1"/>
  <c r="I12" i="54"/>
  <c r="B4" i="54" l="1"/>
  <c r="I15" i="54" l="1"/>
  <c r="I14" i="54"/>
  <c r="I9" i="54"/>
  <c r="I8" i="54"/>
  <c r="I7" i="54"/>
  <c r="I6" i="54"/>
  <c r="A1" i="88" l="1"/>
  <c r="A4" i="88"/>
  <c r="B15" i="88"/>
  <c r="B14" i="88"/>
  <c r="B13" i="88"/>
  <c r="B12" i="88"/>
  <c r="B11" i="88"/>
  <c r="B10" i="88"/>
  <c r="B9" i="88"/>
  <c r="B8" i="88"/>
  <c r="B7" i="88"/>
  <c r="B6" i="88"/>
  <c r="B5" i="88"/>
  <c r="B4" i="88"/>
  <c r="A1" i="87"/>
  <c r="F14" i="54" l="1"/>
  <c r="F12" i="54"/>
  <c r="F6" i="54"/>
  <c r="A16" i="87" l="1"/>
  <c r="B15" i="87"/>
  <c r="B14" i="87"/>
  <c r="B13" i="87"/>
  <c r="B12" i="87"/>
  <c r="B11" i="87"/>
  <c r="B10" i="87"/>
  <c r="B9" i="87"/>
  <c r="B8" i="87"/>
  <c r="B7" i="87"/>
  <c r="B6" i="87"/>
  <c r="B5" i="87"/>
  <c r="B4" i="87"/>
  <c r="A4" i="87"/>
</calcChain>
</file>

<file path=xl/sharedStrings.xml><?xml version="1.0" encoding="utf-8"?>
<sst xmlns="http://schemas.openxmlformats.org/spreadsheetml/2006/main" count="24" uniqueCount="5">
  <si>
    <t>…</t>
  </si>
  <si>
    <t>УКР</t>
  </si>
  <si>
    <t>ENG</t>
  </si>
  <si>
    <t>вагова структура</t>
  </si>
  <si>
    <t>Починаючи з 2016 року здійснено перехід на вагову структуру, яка базується на даних національних рахунків щодо витрат домогосподарств на кінцеве споживання на рівні агрегатів – розділів, груп і класів за Класифікацією індивідуального споживання за цілями (КІСЦ). Для подальшого розподілу використовується деталізована інформація щодо споживчих грошових витрат домогосподарств за результатами обстежень умов життя домогосподарств.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</si>
</sst>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7">
    <numFmt numFmtId="164" formatCode="#,##0&quot;р.&quot;;[Red]\-#,##0&quot;р.&quot;"/>
    <numFmt numFmtId="165" formatCode="#,##0.00&quot;р.&quot;;\-#,##0.00&quot;р.&quot;"/>
    <numFmt numFmtId="166" formatCode="_-* #,##0_р_._-;\-* #,##0_р_._-;_-* &quot;-&quot;_р_._-;_-@_-"/>
    <numFmt numFmtId="167" formatCode="_-* #,##0.00_р_._-;\-* #,##0.00_р_._-;_-* &quot;-&quot;??_р_._-;_-@_-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.00_₴_-;\-* #,##0.00_₴_-;_-* &quot;-&quot;??_₴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  <numFmt numFmtId="229" formatCode="yyyy"/>
    <numFmt numFmtId="230" formatCode="0.00000"/>
  </numFmts>
  <fonts count="207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Verdana"/>
      <family val="2"/>
      <charset val="204"/>
    </font>
    <font>
      <u/>
      <sz val="11"/>
      <name val="Times New Roman"/>
      <family val="1"/>
      <charset val="204"/>
    </font>
    <font>
      <sz val="10"/>
      <color theme="0"/>
      <name val="Arial Cyr"/>
      <charset val="204"/>
    </font>
    <font>
      <b/>
      <sz val="16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2"/>
      <color rgb="FF000000"/>
      <name val="Verdana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rgb="FF005B2B"/>
      </left>
      <right style="thick">
        <color rgb="FF005B2B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/>
      <top/>
      <bottom style="thick">
        <color rgb="FF005B2B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rgb="FF005B2B"/>
      </right>
      <top/>
      <bottom/>
      <diagonal/>
    </border>
    <border>
      <left style="thick">
        <color theme="6" tint="-0.499984740745262"/>
      </left>
      <right style="thick">
        <color rgb="FF005B2B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rgb="FF005B2B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rgb="FF005B2B"/>
      </bottom>
      <diagonal/>
    </border>
    <border>
      <left style="thick">
        <color theme="6" tint="-0.499984740745262"/>
      </left>
      <right/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 style="thick">
        <color rgb="FF005B2B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 style="thin">
        <color indexed="64"/>
      </right>
      <top/>
      <bottom style="thick">
        <color theme="6" tint="-0.499984740745262"/>
      </bottom>
      <diagonal/>
    </border>
  </borders>
  <cellStyleXfs count="1826">
    <xf numFmtId="0" fontId="0" fillId="0" borderId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49" fontId="23" fillId="0" borderId="0">
      <alignment horizontal="centerContinuous" vertical="top" wrapText="1"/>
    </xf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0" fontId="35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5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5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5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5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5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4" fillId="0" borderId="0" applyFont="0" applyFill="0" applyBorder="0" applyAlignment="0" applyProtection="0"/>
    <xf numFmtId="182" fontId="54" fillId="0" borderId="0" applyFont="0" applyFill="0" applyBorder="0" applyAlignment="0" applyProtection="0"/>
    <xf numFmtId="0" fontId="35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5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5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5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5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5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3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183" fontId="53" fillId="0" borderId="0" applyFont="0" applyFill="0" applyBorder="0" applyAlignment="0" applyProtection="0"/>
    <xf numFmtId="0" fontId="36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36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36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6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36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36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6" fillId="0" borderId="1">
      <protection hidden="1"/>
    </xf>
    <xf numFmtId="0" fontId="57" fillId="22" borderId="1" applyNumberFormat="0" applyFont="0" applyBorder="0" applyAlignment="0" applyProtection="0">
      <protection hidden="1"/>
    </xf>
    <xf numFmtId="0" fontId="58" fillId="0" borderId="1">
      <protection hidden="1"/>
    </xf>
    <xf numFmtId="0" fontId="47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39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1" fillId="0" borderId="3" applyNumberFormat="0" applyFont="0" applyFill="0" applyAlignment="0" applyProtection="0"/>
    <xf numFmtId="0" fontId="44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1" fontId="63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25" borderId="5">
      <alignment horizontal="center" vertical="center"/>
    </xf>
    <xf numFmtId="1" fontId="63" fillId="24" borderId="5">
      <alignment horizontal="right" vertical="center"/>
    </xf>
    <xf numFmtId="0" fontId="54" fillId="24" borderId="0"/>
    <xf numFmtId="0" fontId="54" fillId="24" borderId="0"/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1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38" fontId="5" fillId="0" borderId="0" applyFont="0" applyFill="0" applyBorder="0" applyAlignment="0" applyProtection="0"/>
    <xf numFmtId="185" fontId="70" fillId="0" borderId="0" applyFont="0" applyFill="0" applyBorder="0" applyAlignment="0" applyProtection="0"/>
    <xf numFmtId="168" fontId="11" fillId="0" borderId="0" applyFont="0" applyFill="0" applyBorder="0" applyAlignment="0" applyProtection="0"/>
    <xf numFmtId="203" fontId="115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67" fontId="70" fillId="0" borderId="0" applyFont="0" applyFill="0" applyBorder="0" applyAlignment="0" applyProtection="0"/>
    <xf numFmtId="178" fontId="71" fillId="0" borderId="0">
      <alignment horizontal="right" vertical="top"/>
    </xf>
    <xf numFmtId="205" fontId="115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73" fillId="0" borderId="0"/>
    <xf numFmtId="3" fontId="54" fillId="0" borderId="0" applyFill="0" applyBorder="0" applyAlignment="0" applyProtection="0"/>
    <xf numFmtId="0" fontId="74" fillId="0" borderId="0"/>
    <xf numFmtId="0" fontId="74" fillId="0" borderId="0"/>
    <xf numFmtId="172" fontId="5" fillId="0" borderId="0" applyFont="0" applyFill="0" applyBorder="0" applyAlignment="0" applyProtection="0"/>
    <xf numFmtId="204" fontId="115" fillId="0" borderId="0" applyFont="0" applyFill="0" applyBorder="0" applyAlignment="0" applyProtection="0"/>
    <xf numFmtId="186" fontId="72" fillId="0" borderId="0" applyFont="0" applyFill="0" applyBorder="0" applyAlignment="0" applyProtection="0"/>
    <xf numFmtId="175" fontId="6" fillId="0" borderId="0">
      <protection locked="0"/>
    </xf>
    <xf numFmtId="0" fontId="61" fillId="0" borderId="0" applyFont="0" applyFill="0" applyBorder="0" applyAlignment="0" applyProtection="0"/>
    <xf numFmtId="187" fontId="7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0" fontId="78" fillId="0" borderId="0">
      <protection locked="0"/>
    </xf>
    <xf numFmtId="0" fontId="78" fillId="0" borderId="0">
      <protection locked="0"/>
    </xf>
    <xf numFmtId="0" fontId="79" fillId="0" borderId="0">
      <protection locked="0"/>
    </xf>
    <xf numFmtId="0" fontId="78" fillId="0" borderId="0">
      <protection locked="0"/>
    </xf>
    <xf numFmtId="0" fontId="80" fillId="0" borderId="0"/>
    <xf numFmtId="0" fontId="78" fillId="0" borderId="0">
      <protection locked="0"/>
    </xf>
    <xf numFmtId="0" fontId="81" fillId="0" borderId="0"/>
    <xf numFmtId="0" fontId="78" fillId="0" borderId="0">
      <protection locked="0"/>
    </xf>
    <xf numFmtId="0" fontId="81" fillId="0" borderId="0"/>
    <xf numFmtId="0" fontId="79" fillId="0" borderId="0">
      <protection locked="0"/>
    </xf>
    <xf numFmtId="0" fontId="81" fillId="0" borderId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175" fontId="6" fillId="0" borderId="0">
      <protection locked="0"/>
    </xf>
    <xf numFmtId="0" fontId="81" fillId="0" borderId="0"/>
    <xf numFmtId="0" fontId="82" fillId="0" borderId="0"/>
    <xf numFmtId="0" fontId="81" fillId="0" borderId="0"/>
    <xf numFmtId="0" fontId="73" fillId="0" borderId="0"/>
    <xf numFmtId="0" fontId="51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38" fontId="84" fillId="25" borderId="0" applyNumberFormat="0" applyBorder="0" applyAlignment="0" applyProtection="0"/>
    <xf numFmtId="0" fontId="40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41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42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/>
    <xf numFmtId="0" fontId="8" fillId="0" borderId="0"/>
    <xf numFmtId="0" fontId="11" fillId="0" borderId="0"/>
    <xf numFmtId="190" fontId="54" fillId="0" borderId="0" applyFont="0" applyFill="0" applyBorder="0" applyAlignment="0" applyProtection="0"/>
    <xf numFmtId="191" fontId="54" fillId="0" borderId="0" applyFont="0" applyFill="0" applyBorder="0" applyAlignment="0" applyProtection="0"/>
    <xf numFmtId="0" fontId="37" fillId="7" borderId="2" applyNumberFormat="0" applyAlignment="0" applyProtection="0"/>
    <xf numFmtId="10" fontId="84" fillId="24" borderId="5" applyNumberFormat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2" fillId="0" borderId="0"/>
    <xf numFmtId="0" fontId="81" fillId="0" borderId="12"/>
    <xf numFmtId="0" fontId="49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4" fillId="0" borderId="1">
      <alignment horizontal="left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61" fillId="0" borderId="0" applyFont="0" applyFill="0" applyBorder="0" applyAlignment="0" applyProtection="0"/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96" fillId="0" borderId="0"/>
    <xf numFmtId="0" fontId="46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24" fillId="0" borderId="0" applyNumberFormat="0" applyFill="0" applyBorder="0" applyAlignment="0" applyProtection="0"/>
    <xf numFmtId="0" fontId="98" fillId="0" borderId="0"/>
    <xf numFmtId="0" fontId="19" fillId="0" borderId="0"/>
    <xf numFmtId="0" fontId="1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54" fillId="0" borderId="0"/>
    <xf numFmtId="0" fontId="53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196" fontId="70" fillId="0" borderId="0" applyFill="0" applyBorder="0" applyAlignment="0" applyProtection="0">
      <alignment horizontal="right"/>
    </xf>
    <xf numFmtId="0" fontId="77" fillId="0" borderId="0"/>
    <xf numFmtId="177" fontId="31" fillId="0" borderId="0"/>
    <xf numFmtId="177" fontId="19" fillId="0" borderId="0"/>
    <xf numFmtId="0" fontId="99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2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100" fillId="0" borderId="0"/>
    <xf numFmtId="173" fontId="9" fillId="0" borderId="0" applyFont="0" applyFill="0" applyBorder="0" applyAlignment="0" applyProtection="0"/>
    <xf numFmtId="0" fontId="38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197" fontId="77" fillId="0" borderId="0" applyFont="0" applyFill="0" applyBorder="0" applyAlignment="0" applyProtection="0"/>
    <xf numFmtId="198" fontId="77" fillId="0" borderId="0" applyFont="0" applyFill="0" applyBorder="0" applyAlignment="0" applyProtection="0"/>
    <xf numFmtId="0" fontId="73" fillId="0" borderId="0"/>
    <xf numFmtId="10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54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2" fontId="61" fillId="0" borderId="0" applyFont="0" applyFill="0" applyBorder="0" applyAlignment="0" applyProtection="0"/>
    <xf numFmtId="202" fontId="70" fillId="0" borderId="0" applyFill="0" applyBorder="0" applyAlignment="0">
      <alignment horizontal="centerContinuous"/>
    </xf>
    <xf numFmtId="0" fontId="53" fillId="0" borderId="0"/>
    <xf numFmtId="0" fontId="102" fillId="0" borderId="1" applyNumberFormat="0" applyFill="0" applyBorder="0" applyAlignment="0" applyProtection="0">
      <protection hidden="1"/>
    </xf>
    <xf numFmtId="171" fontId="103" fillId="0" borderId="0"/>
    <xf numFmtId="0" fontId="104" fillId="0" borderId="0"/>
    <xf numFmtId="0" fontId="54" fillId="0" borderId="0" applyNumberFormat="0"/>
    <xf numFmtId="0" fontId="4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22" borderId="1"/>
    <xf numFmtId="175" fontId="6" fillId="0" borderId="16">
      <protection locked="0"/>
    </xf>
    <xf numFmtId="0" fontId="106" fillId="0" borderId="17" applyNumberFormat="0" applyFill="0" applyAlignment="0" applyProtection="0"/>
    <xf numFmtId="0" fontId="78" fillId="0" borderId="16">
      <protection locked="0"/>
    </xf>
    <xf numFmtId="0" fontId="96" fillId="0" borderId="0"/>
    <xf numFmtId="0" fontId="5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10" fillId="0" borderId="0">
      <alignment horizontal="right"/>
    </xf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28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13" borderId="2" applyNumberFormat="0" applyAlignment="0" applyProtection="0"/>
    <xf numFmtId="0" fontId="38" fillId="29" borderId="15" applyNumberFormat="0" applyAlignment="0" applyProtection="0"/>
    <xf numFmtId="0" fontId="116" fillId="29" borderId="2" applyNumberFormat="0" applyAlignment="0" applyProtection="0"/>
    <xf numFmtId="0" fontId="111" fillId="0" borderId="0" applyProtection="0"/>
    <xf numFmtId="176" fontId="25" fillId="0" borderId="0" applyFont="0" applyFill="0" applyBorder="0" applyAlignment="0" applyProtection="0"/>
    <xf numFmtId="0" fontId="51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9" fillId="0" borderId="21" applyNumberFormat="0" applyFill="0" applyAlignment="0" applyProtection="0"/>
    <xf numFmtId="0" fontId="119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24" fillId="0" borderId="0">
      <alignment wrapText="1"/>
    </xf>
    <xf numFmtId="0" fontId="49" fillId="0" borderId="13" applyNumberFormat="0" applyFill="0" applyAlignment="0" applyProtection="0"/>
    <xf numFmtId="0" fontId="43" fillId="0" borderId="22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7" fillId="0" borderId="0"/>
    <xf numFmtId="0" fontId="35" fillId="0" borderId="0"/>
    <xf numFmtId="0" fontId="24" fillId="0" borderId="0"/>
    <xf numFmtId="0" fontId="35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2" fillId="0" borderId="0"/>
    <xf numFmtId="0" fontId="17" fillId="0" borderId="0"/>
    <xf numFmtId="0" fontId="24" fillId="0" borderId="0"/>
    <xf numFmtId="0" fontId="11" fillId="0" borderId="0"/>
    <xf numFmtId="0" fontId="11" fillId="0" borderId="0"/>
    <xf numFmtId="0" fontId="35" fillId="0" borderId="0"/>
    <xf numFmtId="0" fontId="52" fillId="0" borderId="0"/>
    <xf numFmtId="0" fontId="52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43" fillId="0" borderId="17" applyNumberFormat="0" applyFill="0" applyAlignment="0" applyProtection="0"/>
    <xf numFmtId="0" fontId="47" fillId="5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115" fillId="10" borderId="14" applyNumberFormat="0" applyFont="0" applyAlignment="0" applyProtection="0"/>
    <xf numFmtId="0" fontId="3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8" fillId="22" borderId="15" applyNumberFormat="0" applyAlignment="0" applyProtection="0"/>
    <xf numFmtId="0" fontId="50" fillId="0" borderId="23" applyNumberFormat="0" applyFill="0" applyAlignment="0" applyProtection="0"/>
    <xf numFmtId="0" fontId="46" fillId="13" borderId="0" applyNumberFormat="0" applyBorder="0" applyAlignment="0" applyProtection="0"/>
    <xf numFmtId="0" fontId="31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" fontId="111" fillId="0" borderId="0" applyProtection="0"/>
    <xf numFmtId="169" fontId="3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1" fillId="6" borderId="0" applyNumberFormat="0" applyBorder="0" applyAlignment="0" applyProtection="0"/>
    <xf numFmtId="49" fontId="23" fillId="0" borderId="5">
      <alignment horizontal="center" vertical="center" wrapText="1"/>
    </xf>
    <xf numFmtId="167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3" fillId="0" borderId="0" applyFont="0" applyFill="0" applyBorder="0" applyAlignment="0" applyProtection="0"/>
    <xf numFmtId="181" fontId="70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70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2" fontId="78" fillId="0" borderId="0">
      <protection locked="0"/>
    </xf>
    <xf numFmtId="2" fontId="79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207" fontId="54" fillId="0" borderId="0"/>
    <xf numFmtId="0" fontId="127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32" borderId="5">
      <alignment horizontal="center" vertical="center"/>
    </xf>
    <xf numFmtId="0" fontId="127" fillId="24" borderId="5">
      <alignment horizontal="right" vertical="center"/>
    </xf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28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173" fontId="29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93" fontId="54" fillId="0" borderId="0" applyFont="0" applyFill="0" applyBorder="0" applyAlignment="0" applyProtection="0"/>
    <xf numFmtId="2" fontId="78" fillId="0" borderId="0">
      <protection locked="0"/>
    </xf>
    <xf numFmtId="0" fontId="54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71" fontId="130" fillId="0" borderId="0"/>
    <xf numFmtId="208" fontId="54" fillId="0" borderId="0" applyFont="0" applyFill="0" applyBorder="0" applyAlignment="0" applyProtection="0"/>
    <xf numFmtId="177" fontId="82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80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209" fontId="78" fillId="0" borderId="0">
      <protection locked="0"/>
    </xf>
    <xf numFmtId="2" fontId="54" fillId="0" borderId="0" applyFont="0" applyFill="0" applyBorder="0" applyAlignment="0" applyProtection="0"/>
    <xf numFmtId="0" fontId="81" fillId="0" borderId="0"/>
    <xf numFmtId="0" fontId="82" fillId="0" borderId="0"/>
    <xf numFmtId="0" fontId="81" fillId="0" borderId="0"/>
    <xf numFmtId="209" fontId="78" fillId="0" borderId="0">
      <protection locked="0"/>
    </xf>
    <xf numFmtId="210" fontId="131" fillId="0" borderId="0" applyAlignment="0">
      <alignment wrapText="1"/>
    </xf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11" fontId="132" fillId="0" borderId="0">
      <protection locked="0"/>
    </xf>
    <xf numFmtId="211" fontId="132" fillId="0" borderId="0"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174" fontId="53" fillId="0" borderId="0" applyFont="0" applyFill="0" applyBorder="0" applyAlignment="0" applyProtection="0"/>
    <xf numFmtId="174" fontId="70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70" fillId="0" borderId="0" applyFont="0" applyFill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4" fillId="0" borderId="0"/>
    <xf numFmtId="0" fontId="81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39" fillId="24" borderId="32">
      <alignment horizontal="left" vertical="center"/>
      <protection locked="0"/>
    </xf>
    <xf numFmtId="49" fontId="139" fillId="24" borderId="32">
      <alignment horizontal="left" vertical="center"/>
    </xf>
    <xf numFmtId="4" fontId="139" fillId="24" borderId="32">
      <alignment horizontal="right" vertical="center"/>
      <protection locked="0"/>
    </xf>
    <xf numFmtId="4" fontId="139" fillId="24" borderId="32">
      <alignment horizontal="right" vertical="center"/>
    </xf>
    <xf numFmtId="4" fontId="140" fillId="24" borderId="32">
      <alignment horizontal="right" vertical="center"/>
      <protection locked="0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" fontId="141" fillId="24" borderId="5">
      <alignment horizontal="right" vertical="center"/>
      <protection locked="0"/>
    </xf>
    <xf numFmtId="4" fontId="141" fillId="24" borderId="5">
      <alignment horizontal="right" vertical="center"/>
    </xf>
    <xf numFmtId="4" fontId="143" fillId="24" borderId="5">
      <alignment horizontal="right" vertical="center"/>
      <protection locked="0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9" fontId="129" fillId="24" borderId="5">
      <alignment horizontal="left" vertical="center"/>
    </xf>
    <xf numFmtId="49" fontId="140" fillId="24" borderId="5">
      <alignment horizontal="left" vertical="center"/>
      <protection locked="0"/>
    </xf>
    <xf numFmtId="49" fontId="140" fillId="24" borderId="5">
      <alignment horizontal="left" vertical="center"/>
    </xf>
    <xf numFmtId="4" fontId="129" fillId="24" borderId="5">
      <alignment horizontal="right" vertical="center"/>
      <protection locked="0"/>
    </xf>
    <xf numFmtId="4" fontId="129" fillId="24" borderId="5">
      <alignment horizontal="right" vertical="center"/>
      <protection locked="0"/>
    </xf>
    <xf numFmtId="4" fontId="129" fillId="24" borderId="5">
      <alignment horizontal="right" vertical="center"/>
    </xf>
    <xf numFmtId="4" fontId="129" fillId="24" borderId="5">
      <alignment horizontal="right" vertical="center"/>
    </xf>
    <xf numFmtId="4" fontId="140" fillId="24" borderId="5">
      <alignment horizontal="right" vertical="center"/>
      <protection locked="0"/>
    </xf>
    <xf numFmtId="49" fontId="144" fillId="24" borderId="5">
      <alignment horizontal="left" vertical="center"/>
      <protection locked="0"/>
    </xf>
    <xf numFmtId="49" fontId="144" fillId="24" borderId="5">
      <alignment horizontal="left" vertical="center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" fontId="144" fillId="24" borderId="5">
      <alignment horizontal="right" vertical="center"/>
      <protection locked="0"/>
    </xf>
    <xf numFmtId="4" fontId="144" fillId="24" borderId="5">
      <alignment horizontal="right" vertical="center"/>
    </xf>
    <xf numFmtId="4" fontId="146" fillId="24" borderId="5">
      <alignment horizontal="right" vertical="center"/>
      <protection locked="0"/>
    </xf>
    <xf numFmtId="49" fontId="147" fillId="0" borderId="5">
      <alignment horizontal="left" vertical="center"/>
      <protection locked="0"/>
    </xf>
    <xf numFmtId="49" fontId="147" fillId="0" borderId="5">
      <alignment horizontal="left" vertical="center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" fontId="147" fillId="0" borderId="5">
      <alignment horizontal="right" vertical="center"/>
      <protection locked="0"/>
    </xf>
    <xf numFmtId="4" fontId="147" fillId="0" borderId="5">
      <alignment horizontal="right" vertical="center"/>
    </xf>
    <xf numFmtId="4" fontId="148" fillId="0" borderId="5">
      <alignment horizontal="right" vertical="center"/>
      <protection locked="0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" fontId="149" fillId="0" borderId="5">
      <alignment horizontal="right" vertical="center"/>
      <protection locked="0"/>
    </xf>
    <xf numFmtId="4" fontId="149" fillId="0" borderId="5">
      <alignment horizontal="right" vertical="center"/>
    </xf>
    <xf numFmtId="49" fontId="147" fillId="0" borderId="5">
      <alignment horizontal="left" vertical="center"/>
      <protection locked="0"/>
    </xf>
    <xf numFmtId="49" fontId="148" fillId="0" borderId="5">
      <alignment horizontal="left" vertical="center"/>
      <protection locked="0"/>
    </xf>
    <xf numFmtId="4" fontId="147" fillId="0" borderId="5">
      <alignment horizontal="right" vertical="center"/>
      <protection locked="0"/>
    </xf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1" fontId="70" fillId="0" borderId="0" applyNumberFormat="0" applyAlignment="0">
      <alignment horizontal="center"/>
    </xf>
    <xf numFmtId="212" fontId="151" fillId="0" borderId="0" applyNumberFormat="0">
      <alignment horizontal="centerContinuous"/>
    </xf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213" fontId="77" fillId="0" borderId="0" applyFont="0" applyFill="0" applyBorder="0" applyAlignment="0" applyProtection="0"/>
    <xf numFmtId="214" fontId="77" fillId="0" borderId="0" applyFont="0" applyFill="0" applyBorder="0" applyAlignment="0" applyProtection="0"/>
    <xf numFmtId="215" fontId="78" fillId="0" borderId="0">
      <protection locked="0"/>
    </xf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216" fontId="78" fillId="0" borderId="0">
      <protection locked="0"/>
    </xf>
    <xf numFmtId="217" fontId="78" fillId="0" borderId="0">
      <protection locked="0"/>
    </xf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152" fillId="0" borderId="0"/>
    <xf numFmtId="0" fontId="19" fillId="0" borderId="0"/>
    <xf numFmtId="0" fontId="153" fillId="0" borderId="0"/>
    <xf numFmtId="0" fontId="19" fillId="0" borderId="0"/>
    <xf numFmtId="0" fontId="82" fillId="0" borderId="0"/>
    <xf numFmtId="0" fontId="82" fillId="0" borderId="0"/>
    <xf numFmtId="0" fontId="29" fillId="0" borderId="0"/>
    <xf numFmtId="0" fontId="29" fillId="0" borderId="0"/>
    <xf numFmtId="0" fontId="70" fillId="0" borderId="0"/>
    <xf numFmtId="0" fontId="110" fillId="0" borderId="0"/>
    <xf numFmtId="0" fontId="54" fillId="0" borderId="0"/>
    <xf numFmtId="0" fontId="29" fillId="0" borderId="0"/>
    <xf numFmtId="0" fontId="3" fillId="0" borderId="0"/>
    <xf numFmtId="0" fontId="70" fillId="0" borderId="0"/>
    <xf numFmtId="0" fontId="70" fillId="0" borderId="0"/>
    <xf numFmtId="0" fontId="54" fillId="0" borderId="0"/>
    <xf numFmtId="0" fontId="15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 applyBorder="0"/>
    <xf numFmtId="0" fontId="54" fillId="0" borderId="0"/>
    <xf numFmtId="0" fontId="54" fillId="0" borderId="0"/>
    <xf numFmtId="0" fontId="70" fillId="0" borderId="0"/>
    <xf numFmtId="0" fontId="70" fillId="0" borderId="0"/>
    <xf numFmtId="0" fontId="11" fillId="0" borderId="0"/>
    <xf numFmtId="0" fontId="70" fillId="0" borderId="0"/>
    <xf numFmtId="0" fontId="155" fillId="0" borderId="0"/>
    <xf numFmtId="0" fontId="54" fillId="0" borderId="0"/>
    <xf numFmtId="0" fontId="70" fillId="0" borderId="0" applyBorder="0"/>
    <xf numFmtId="0" fontId="11" fillId="0" borderId="0"/>
    <xf numFmtId="0" fontId="29" fillId="0" borderId="0"/>
    <xf numFmtId="0" fontId="29" fillId="0" borderId="0"/>
    <xf numFmtId="218" fontId="156" fillId="0" borderId="0"/>
    <xf numFmtId="0" fontId="70" fillId="0" borderId="0"/>
    <xf numFmtId="0" fontId="35" fillId="0" borderId="0"/>
    <xf numFmtId="0" fontId="157" fillId="0" borderId="0"/>
    <xf numFmtId="0" fontId="157" fillId="0" borderId="0"/>
    <xf numFmtId="0" fontId="157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3" fillId="32" borderId="5">
      <alignment horizontal="right" vertical="center"/>
      <protection locked="0"/>
    </xf>
    <xf numFmtId="4" fontId="123" fillId="30" borderId="5">
      <alignment horizontal="right" vertical="center"/>
      <protection locked="0"/>
    </xf>
    <xf numFmtId="4" fontId="123" fillId="25" borderId="5">
      <alignment horizontal="right" vertical="center"/>
      <protection locked="0"/>
    </xf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9" fontId="7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70" fillId="0" borderId="0" applyFont="0" applyFill="0" applyBorder="0" applyAlignment="0" applyProtection="0"/>
    <xf numFmtId="219" fontId="78" fillId="0" borderId="0">
      <protection locked="0"/>
    </xf>
    <xf numFmtId="220" fontId="78" fillId="0" borderId="0">
      <protection locked="0"/>
    </xf>
    <xf numFmtId="221" fontId="54" fillId="0" borderId="0" applyFont="0" applyFill="0" applyBorder="0" applyAlignment="0" applyProtection="0"/>
    <xf numFmtId="219" fontId="78" fillId="0" borderId="0">
      <protection locked="0"/>
    </xf>
    <xf numFmtId="202" fontId="70" fillId="0" borderId="0" applyFill="0" applyBorder="0" applyAlignment="0">
      <alignment horizontal="centerContinuous"/>
    </xf>
    <xf numFmtId="220" fontId="78" fillId="0" borderId="0">
      <protection locked="0"/>
    </xf>
    <xf numFmtId="222" fontId="78" fillId="0" borderId="0">
      <protection locked="0"/>
    </xf>
    <xf numFmtId="49" fontId="129" fillId="0" borderId="5">
      <alignment horizontal="left" vertical="center" wrapText="1"/>
      <protection locked="0"/>
    </xf>
    <xf numFmtId="49" fontId="129" fillId="0" borderId="5">
      <alignment horizontal="left" vertical="center" wrapText="1"/>
      <protection locked="0"/>
    </xf>
    <xf numFmtId="4" fontId="158" fillId="33" borderId="33" applyNumberFormat="0" applyProtection="0">
      <alignment vertical="center"/>
    </xf>
    <xf numFmtId="4" fontId="159" fillId="33" borderId="33" applyNumberFormat="0" applyProtection="0">
      <alignment vertical="center"/>
    </xf>
    <xf numFmtId="4" fontId="160" fillId="0" borderId="0" applyNumberFormat="0" applyProtection="0">
      <alignment horizontal="left" vertical="center" indent="1"/>
    </xf>
    <xf numFmtId="4" fontId="161" fillId="34" borderId="33" applyNumberFormat="0" applyProtection="0">
      <alignment horizontal="left" vertical="center" indent="1"/>
    </xf>
    <xf numFmtId="4" fontId="162" fillId="35" borderId="33" applyNumberFormat="0" applyProtection="0">
      <alignment vertical="center"/>
    </xf>
    <xf numFmtId="4" fontId="163" fillId="32" borderId="33" applyNumberFormat="0" applyProtection="0">
      <alignment vertical="center"/>
    </xf>
    <xf numFmtId="4" fontId="162" fillId="36" borderId="33" applyNumberFormat="0" applyProtection="0">
      <alignment vertical="center"/>
    </xf>
    <xf numFmtId="4" fontId="164" fillId="35" borderId="33" applyNumberFormat="0" applyProtection="0">
      <alignment vertical="center"/>
    </xf>
    <xf numFmtId="4" fontId="165" fillId="37" borderId="33" applyNumberFormat="0" applyProtection="0">
      <alignment horizontal="left" vertical="center" indent="1"/>
    </xf>
    <xf numFmtId="4" fontId="165" fillId="30" borderId="33" applyNumberFormat="0" applyProtection="0">
      <alignment horizontal="left" vertical="center" indent="1"/>
    </xf>
    <xf numFmtId="4" fontId="166" fillId="34" borderId="33" applyNumberFormat="0" applyProtection="0">
      <alignment horizontal="left" vertical="center" indent="1"/>
    </xf>
    <xf numFmtId="4" fontId="167" fillId="31" borderId="33" applyNumberFormat="0" applyProtection="0">
      <alignment vertical="center"/>
    </xf>
    <xf numFmtId="4" fontId="168" fillId="24" borderId="33" applyNumberFormat="0" applyProtection="0">
      <alignment horizontal="left" vertical="center" indent="1"/>
    </xf>
    <xf numFmtId="4" fontId="169" fillId="30" borderId="33" applyNumberFormat="0" applyProtection="0">
      <alignment horizontal="left" vertical="center" indent="1"/>
    </xf>
    <xf numFmtId="4" fontId="170" fillId="34" borderId="33" applyNumberFormat="0" applyProtection="0">
      <alignment horizontal="left" vertical="center" indent="1"/>
    </xf>
    <xf numFmtId="4" fontId="171" fillId="24" borderId="33" applyNumberFormat="0" applyProtection="0">
      <alignment vertical="center"/>
    </xf>
    <xf numFmtId="4" fontId="172" fillId="24" borderId="33" applyNumberFormat="0" applyProtection="0">
      <alignment vertical="center"/>
    </xf>
    <xf numFmtId="4" fontId="165" fillId="30" borderId="33" applyNumberFormat="0" applyProtection="0">
      <alignment horizontal="left" vertical="center" indent="1"/>
    </xf>
    <xf numFmtId="4" fontId="173" fillId="24" borderId="33" applyNumberFormat="0" applyProtection="0">
      <alignment vertical="center"/>
    </xf>
    <xf numFmtId="4" fontId="174" fillId="24" borderId="33" applyNumberFormat="0" applyProtection="0">
      <alignment vertical="center"/>
    </xf>
    <xf numFmtId="4" fontId="84" fillId="0" borderId="0" applyNumberFormat="0" applyProtection="0">
      <alignment horizontal="left" vertical="center" indent="1"/>
    </xf>
    <xf numFmtId="4" fontId="175" fillId="24" borderId="33" applyNumberFormat="0" applyProtection="0">
      <alignment vertical="center"/>
    </xf>
    <xf numFmtId="4" fontId="176" fillId="24" borderId="33" applyNumberFormat="0" applyProtection="0">
      <alignment vertical="center"/>
    </xf>
    <xf numFmtId="4" fontId="165" fillId="38" borderId="33" applyNumberFormat="0" applyProtection="0">
      <alignment horizontal="left" vertical="center" indent="1"/>
    </xf>
    <xf numFmtId="4" fontId="177" fillId="31" borderId="33" applyNumberFormat="0" applyProtection="0">
      <alignment horizontal="left" indent="1"/>
    </xf>
    <xf numFmtId="4" fontId="178" fillId="24" borderId="33" applyNumberFormat="0" applyProtection="0">
      <alignment vertical="center"/>
    </xf>
    <xf numFmtId="38" fontId="77" fillId="0" borderId="29"/>
    <xf numFmtId="223" fontId="54" fillId="0" borderId="0">
      <protection locked="0"/>
    </xf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0" fontId="179" fillId="0" borderId="0" applyNumberFormat="0" applyFill="0" applyBorder="0" applyAlignment="0" applyProtection="0"/>
    <xf numFmtId="0" fontId="54" fillId="0" borderId="0" applyNumberFormat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2" fontId="132" fillId="0" borderId="0">
      <protection locked="0"/>
    </xf>
    <xf numFmtId="2" fontId="132" fillId="0" borderId="0">
      <protection locked="0"/>
    </xf>
    <xf numFmtId="220" fontId="78" fillId="0" borderId="0">
      <protection locked="0"/>
    </xf>
    <xf numFmtId="222" fontId="78" fillId="0" borderId="0">
      <protection locked="0"/>
    </xf>
    <xf numFmtId="0" fontId="77" fillId="0" borderId="0"/>
    <xf numFmtId="4" fontId="54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80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>
      <alignment vertical="top"/>
    </xf>
    <xf numFmtId="0" fontId="180" fillId="0" borderId="0" applyNumberFormat="0" applyFont="0" applyFill="0" applyBorder="0" applyAlignment="0" applyProtection="0"/>
    <xf numFmtId="0" fontId="180" fillId="0" borderId="0" applyNumberFormat="0" applyFont="0" applyFill="0" applyBorder="0" applyAlignment="0" applyProtection="0">
      <alignment horizontal="left" vertical="top"/>
    </xf>
    <xf numFmtId="0" fontId="180" fillId="0" borderId="0" applyNumberFormat="0" applyFont="0" applyFill="0" applyBorder="0" applyAlignment="0" applyProtection="0">
      <alignment horizontal="left" vertical="top"/>
    </xf>
    <xf numFmtId="0" fontId="180" fillId="0" borderId="0" applyNumberFormat="0" applyFont="0" applyFill="0" applyBorder="0" applyAlignment="0" applyProtection="0">
      <alignment horizontal="left" vertical="top"/>
    </xf>
    <xf numFmtId="0" fontId="70" fillId="0" borderId="0"/>
    <xf numFmtId="0" fontId="182" fillId="0" borderId="0">
      <alignment horizontal="left" wrapText="1"/>
    </xf>
    <xf numFmtId="0" fontId="183" fillId="0" borderId="18" applyNumberFormat="0" applyFont="0" applyFill="0" applyBorder="0" applyAlignment="0" applyProtection="0">
      <alignment horizontal="center" wrapText="1"/>
    </xf>
    <xf numFmtId="224" fontId="53" fillId="0" borderId="0" applyNumberFormat="0" applyFont="0" applyFill="0" applyBorder="0" applyAlignment="0" applyProtection="0">
      <alignment horizontal="right"/>
    </xf>
    <xf numFmtId="0" fontId="183" fillId="0" borderId="0" applyNumberFormat="0" applyFont="0" applyFill="0" applyBorder="0" applyAlignment="0" applyProtection="0">
      <alignment horizontal="left" indent="1"/>
    </xf>
    <xf numFmtId="225" fontId="183" fillId="0" borderId="0" applyNumberFormat="0" applyFont="0" applyFill="0" applyBorder="0" applyAlignment="0" applyProtection="0"/>
    <xf numFmtId="0" fontId="70" fillId="0" borderId="18" applyNumberFormat="0" applyFont="0" applyFill="0" applyAlignment="0" applyProtection="0">
      <alignment horizontal="center"/>
    </xf>
    <xf numFmtId="0" fontId="70" fillId="0" borderId="0" applyNumberFormat="0" applyFont="0" applyFill="0" applyBorder="0" applyAlignment="0" applyProtection="0">
      <alignment horizontal="left" wrapText="1" indent="1"/>
    </xf>
    <xf numFmtId="0" fontId="183" fillId="0" borderId="0" applyNumberFormat="0" applyFont="0" applyFill="0" applyBorder="0" applyAlignment="0" applyProtection="0">
      <alignment horizontal="left" indent="1"/>
    </xf>
    <xf numFmtId="0" fontId="70" fillId="0" borderId="0" applyNumberFormat="0" applyFont="0" applyFill="0" applyBorder="0" applyAlignment="0" applyProtection="0">
      <alignment horizontal="left" wrapText="1" indent="2"/>
    </xf>
    <xf numFmtId="226" fontId="70" fillId="0" borderId="0">
      <alignment horizontal="right"/>
    </xf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218" fontId="37" fillId="7" borderId="2" applyNumberFormat="0" applyAlignment="0" applyProtection="0"/>
    <xf numFmtId="0" fontId="38" fillId="22" borderId="15" applyNumberFormat="0" applyAlignment="0" applyProtection="0"/>
    <xf numFmtId="0" fontId="38" fillId="22" borderId="15" applyNumberFormat="0" applyAlignment="0" applyProtection="0"/>
    <xf numFmtId="0" fontId="39" fillId="22" borderId="2" applyNumberFormat="0" applyAlignment="0" applyProtection="0"/>
    <xf numFmtId="0" fontId="39" fillId="22" borderId="2" applyNumberFormat="0" applyAlignment="0" applyProtection="0"/>
    <xf numFmtId="0" fontId="111" fillId="0" borderId="0" applyProtection="0"/>
    <xf numFmtId="195" fontId="24" fillId="0" borderId="0" applyFont="0" applyFill="0" applyBorder="0" applyAlignment="0" applyProtection="0"/>
    <xf numFmtId="0" fontId="51" fillId="4" borderId="0" applyNumberFormat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49" fillId="0" borderId="13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2" fillId="0" borderId="0"/>
    <xf numFmtId="0" fontId="24" fillId="0" borderId="0"/>
    <xf numFmtId="0" fontId="52" fillId="0" borderId="0"/>
    <xf numFmtId="0" fontId="52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8" fontId="155" fillId="0" borderId="0"/>
    <xf numFmtId="218" fontId="155" fillId="0" borderId="0"/>
    <xf numFmtId="218" fontId="155" fillId="0" borderId="0"/>
    <xf numFmtId="0" fontId="1" fillId="0" borderId="0"/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5" fillId="0" borderId="0"/>
    <xf numFmtId="0" fontId="24" fillId="0" borderId="0"/>
    <xf numFmtId="0" fontId="43" fillId="0" borderId="17" applyNumberFormat="0" applyFill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22" borderId="15" applyNumberFormat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6" fillId="1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5" fontId="184" fillId="0" borderId="0" applyFont="0" applyFill="0" applyBorder="0" applyAlignment="0" applyProtection="0"/>
    <xf numFmtId="173" fontId="184" fillId="0" borderId="0" applyFont="0" applyFill="0" applyBorder="0" applyAlignment="0" applyProtection="0"/>
    <xf numFmtId="227" fontId="12" fillId="0" borderId="0" applyNumberFormat="0" applyFill="0" applyBorder="0" applyAlignment="0" applyProtection="0"/>
    <xf numFmtId="227" fontId="12" fillId="0" borderId="0" applyNumberForma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7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20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228" fontId="185" fillId="24" borderId="30" applyFill="0" applyBorder="0">
      <alignment horizontal="center" vertical="center" wrapText="1"/>
      <protection locked="0"/>
    </xf>
    <xf numFmtId="210" fontId="186" fillId="0" borderId="0">
      <alignment wrapText="1"/>
    </xf>
    <xf numFmtId="210" fontId="131" fillId="0" borderId="0">
      <alignment wrapText="1"/>
    </xf>
    <xf numFmtId="0" fontId="188" fillId="0" borderId="0" applyNumberFormat="0" applyFill="0" applyBorder="0" applyAlignment="0" applyProtection="0"/>
    <xf numFmtId="0" fontId="3" fillId="0" borderId="0"/>
  </cellStyleXfs>
  <cellXfs count="164">
    <xf numFmtId="0" fontId="0" fillId="0" borderId="0" xfId="0"/>
    <xf numFmtId="0" fontId="11" fillId="0" borderId="0" xfId="792"/>
    <xf numFmtId="0" fontId="11" fillId="0" borderId="0" xfId="792" applyFont="1"/>
    <xf numFmtId="171" fontId="15" fillId="0" borderId="0" xfId="0" applyNumberFormat="1" applyFont="1" applyFill="1" applyBorder="1" applyAlignment="1">
      <alignment horizontal="right" vertical="center"/>
    </xf>
    <xf numFmtId="0" fontId="28" fillId="0" borderId="0" xfId="792" applyFont="1"/>
    <xf numFmtId="0" fontId="11" fillId="0" borderId="0" xfId="792" applyFill="1" applyBorder="1"/>
    <xf numFmtId="0" fontId="11" fillId="0" borderId="0" xfId="792" applyFont="1" applyFill="1" applyBorder="1"/>
    <xf numFmtId="0" fontId="28" fillId="0" borderId="0" xfId="792" applyFont="1" applyFill="1" applyBorder="1"/>
    <xf numFmtId="177" fontId="27" fillId="0" borderId="0" xfId="612" applyNumberFormat="1" applyFont="1" applyFill="1" applyBorder="1" applyAlignment="1" applyProtection="1">
      <alignment horizontal="left" indent="1"/>
    </xf>
    <xf numFmtId="177" fontId="27" fillId="0" borderId="0" xfId="612" applyNumberFormat="1" applyFont="1" applyFill="1" applyBorder="1" applyAlignment="1" applyProtection="1">
      <alignment horizontal="left" indent="3"/>
    </xf>
    <xf numFmtId="0" fontId="33" fillId="0" borderId="0" xfId="792" applyFont="1" applyFill="1" applyBorder="1"/>
    <xf numFmtId="171" fontId="15" fillId="0" borderId="0" xfId="0" applyNumberFormat="1" applyFont="1" applyFill="1" applyBorder="1" applyAlignment="1"/>
    <xf numFmtId="171" fontId="14" fillId="0" borderId="0" xfId="0" applyNumberFormat="1" applyFont="1" applyFill="1" applyBorder="1" applyAlignment="1">
      <alignment vertical="center"/>
    </xf>
    <xf numFmtId="171" fontId="15" fillId="0" borderId="0" xfId="0" applyNumberFormat="1" applyFont="1" applyFill="1" applyBorder="1" applyAlignment="1">
      <alignment vertical="center"/>
    </xf>
    <xf numFmtId="171" fontId="15" fillId="0" borderId="0" xfId="0" applyNumberFormat="1" applyFont="1" applyFill="1" applyBorder="1" applyAlignment="1">
      <alignment horizontal="right"/>
    </xf>
    <xf numFmtId="171" fontId="20" fillId="0" borderId="0" xfId="0" applyNumberFormat="1" applyFont="1" applyFill="1" applyBorder="1" applyAlignment="1"/>
    <xf numFmtId="171" fontId="20" fillId="0" borderId="0" xfId="0" applyNumberFormat="1" applyFont="1" applyFill="1" applyBorder="1" applyAlignment="1">
      <alignment vertical="center"/>
    </xf>
    <xf numFmtId="171" fontId="125" fillId="0" borderId="0" xfId="0" applyNumberFormat="1" applyFont="1" applyFill="1" applyBorder="1" applyAlignment="1">
      <alignment horizontal="right"/>
    </xf>
    <xf numFmtId="171" fontId="124" fillId="0" borderId="0" xfId="0" applyNumberFormat="1" applyFont="1" applyFill="1" applyBorder="1" applyAlignment="1">
      <alignment vertical="center"/>
    </xf>
    <xf numFmtId="171" fontId="125" fillId="0" borderId="0" xfId="0" applyNumberFormat="1" applyFont="1" applyFill="1" applyBorder="1" applyAlignment="1">
      <alignment horizontal="right" vertical="center"/>
    </xf>
    <xf numFmtId="171" fontId="122" fillId="0" borderId="0" xfId="0" applyNumberFormat="1" applyFont="1" applyFill="1" applyBorder="1" applyAlignment="1">
      <alignment vertical="center"/>
    </xf>
    <xf numFmtId="171" fontId="20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6" fillId="0" borderId="0" xfId="793" applyFont="1" applyFill="1" applyBorder="1" applyAlignment="1">
      <alignment horizontal="center"/>
    </xf>
    <xf numFmtId="0" fontId="30" fillId="0" borderId="0" xfId="793" applyFont="1" applyFill="1" applyBorder="1" applyAlignment="1">
      <alignment horizontal="center" vertical="center"/>
    </xf>
    <xf numFmtId="0" fontId="14" fillId="0" borderId="0" xfId="792" applyFont="1" applyFill="1" applyBorder="1"/>
    <xf numFmtId="0" fontId="15" fillId="0" borderId="0" xfId="792" applyFont="1" applyFill="1" applyBorder="1"/>
    <xf numFmtId="0" fontId="15" fillId="0" borderId="0" xfId="0" applyFont="1" applyFill="1" applyBorder="1"/>
    <xf numFmtId="0" fontId="21" fillId="0" borderId="0" xfId="792" applyFont="1" applyFill="1" applyBorder="1"/>
    <xf numFmtId="171" fontId="22" fillId="0" borderId="0" xfId="792" applyNumberFormat="1" applyFont="1" applyFill="1" applyBorder="1"/>
    <xf numFmtId="171" fontId="21" fillId="0" borderId="0" xfId="792" applyNumberFormat="1" applyFont="1" applyFill="1" applyBorder="1"/>
    <xf numFmtId="0" fontId="189" fillId="0" borderId="0" xfId="1824" applyFont="1" applyFill="1" applyBorder="1" applyAlignment="1">
      <alignment horizontal="left" vertical="center"/>
    </xf>
    <xf numFmtId="0" fontId="199" fillId="0" borderId="0" xfId="0" applyFont="1" applyBorder="1" applyAlignment="1">
      <alignment horizontal="right" vertical="center" wrapText="1"/>
    </xf>
    <xf numFmtId="171" fontId="0" fillId="0" borderId="0" xfId="0" applyNumberFormat="1"/>
    <xf numFmtId="0" fontId="201" fillId="0" borderId="0" xfId="792" applyFont="1"/>
    <xf numFmtId="0" fontId="11" fillId="0" borderId="0" xfId="792" applyFont="1" applyAlignment="1">
      <alignment horizontal="center" vertical="center"/>
    </xf>
    <xf numFmtId="0" fontId="11" fillId="0" borderId="0" xfId="792" applyFill="1" applyBorder="1" applyAlignment="1">
      <alignment vertical="center"/>
    </xf>
    <xf numFmtId="0" fontId="11" fillId="0" borderId="0" xfId="792" applyAlignment="1">
      <alignment vertical="center"/>
    </xf>
    <xf numFmtId="0" fontId="201" fillId="0" borderId="0" xfId="792" applyFont="1" applyAlignment="1">
      <alignment vertical="center"/>
    </xf>
    <xf numFmtId="0" fontId="114" fillId="0" borderId="0" xfId="792" applyFont="1" applyFill="1" applyBorder="1" applyAlignment="1">
      <alignment vertical="center"/>
    </xf>
    <xf numFmtId="0" fontId="32" fillId="0" borderId="0" xfId="792" applyFont="1" applyFill="1" applyBorder="1" applyAlignment="1">
      <alignment vertical="center"/>
    </xf>
    <xf numFmtId="0" fontId="114" fillId="0" borderId="0" xfId="792" applyFont="1" applyFill="1" applyBorder="1" applyAlignment="1">
      <alignment vertical="top"/>
    </xf>
    <xf numFmtId="229" fontId="15" fillId="43" borderId="5" xfId="0" applyNumberFormat="1" applyFont="1" applyFill="1" applyBorder="1" applyAlignment="1">
      <alignment horizontal="center" vertical="center" wrapText="1"/>
    </xf>
    <xf numFmtId="171" fontId="21" fillId="0" borderId="47" xfId="792" applyNumberFormat="1" applyFont="1" applyFill="1" applyBorder="1"/>
    <xf numFmtId="171" fontId="125" fillId="0" borderId="59" xfId="0" applyNumberFormat="1" applyFont="1" applyFill="1" applyBorder="1" applyAlignment="1">
      <alignment horizontal="right"/>
    </xf>
    <xf numFmtId="0" fontId="200" fillId="0" borderId="59" xfId="1824" applyFont="1" applyFill="1" applyBorder="1" applyAlignment="1">
      <alignment horizontal="left" vertical="center"/>
    </xf>
    <xf numFmtId="171" fontId="22" fillId="0" borderId="47" xfId="792" applyNumberFormat="1" applyFont="1" applyFill="1" applyBorder="1"/>
    <xf numFmtId="229" fontId="15" fillId="43" borderId="3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05" fillId="0" borderId="0" xfId="1824" applyFont="1" applyBorder="1" applyAlignment="1" applyProtection="1">
      <alignment vertical="center"/>
      <protection hidden="1"/>
    </xf>
    <xf numFmtId="0" fontId="191" fillId="0" borderId="0" xfId="1824" applyFont="1" applyBorder="1" applyAlignment="1" applyProtection="1">
      <alignment vertical="center"/>
      <protection hidden="1"/>
    </xf>
    <xf numFmtId="229" fontId="15" fillId="43" borderId="5" xfId="0" applyNumberFormat="1" applyFont="1" applyFill="1" applyBorder="1" applyAlignment="1" applyProtection="1">
      <alignment horizontal="center" vertical="center" wrapText="1"/>
      <protection hidden="1"/>
    </xf>
    <xf numFmtId="0" fontId="197" fillId="42" borderId="0" xfId="0" applyFont="1" applyFill="1" applyBorder="1" applyAlignment="1" applyProtection="1">
      <alignment vertical="center" wrapText="1"/>
      <protection hidden="1"/>
    </xf>
    <xf numFmtId="171" fontId="198" fillId="42" borderId="39" xfId="0" applyNumberFormat="1" applyFont="1" applyFill="1" applyBorder="1" applyAlignment="1" applyProtection="1">
      <alignment vertical="center" wrapText="1"/>
      <protection hidden="1"/>
    </xf>
    <xf numFmtId="0" fontId="197" fillId="40" borderId="27" xfId="0" applyFont="1" applyFill="1" applyBorder="1" applyAlignment="1" applyProtection="1">
      <alignment vertical="center" wrapText="1"/>
      <protection hidden="1"/>
    </xf>
    <xf numFmtId="171" fontId="197" fillId="40" borderId="39" xfId="0" applyNumberFormat="1" applyFont="1" applyFill="1" applyBorder="1" applyAlignment="1" applyProtection="1">
      <alignment vertical="center" wrapText="1"/>
      <protection hidden="1"/>
    </xf>
    <xf numFmtId="0" fontId="11" fillId="0" borderId="0" xfId="792" applyProtection="1">
      <protection hidden="1"/>
    </xf>
    <xf numFmtId="0" fontId="0" fillId="0" borderId="0" xfId="0" applyProtection="1">
      <protection hidden="1"/>
    </xf>
    <xf numFmtId="0" fontId="3" fillId="0" borderId="0" xfId="792" applyFont="1" applyProtection="1">
      <protection hidden="1"/>
    </xf>
    <xf numFmtId="171" fontId="193" fillId="39" borderId="0" xfId="0" applyNumberFormat="1" applyFont="1" applyFill="1" applyBorder="1" applyAlignment="1" applyProtection="1">
      <alignment vertical="center" wrapText="1"/>
    </xf>
    <xf numFmtId="171" fontId="193" fillId="39" borderId="0" xfId="0" applyNumberFormat="1" applyFont="1" applyFill="1" applyBorder="1" applyAlignment="1" applyProtection="1">
      <alignment horizontal="right" vertical="center" wrapText="1"/>
    </xf>
    <xf numFmtId="171" fontId="192" fillId="0" borderId="0" xfId="0" applyNumberFormat="1" applyFont="1" applyFill="1" applyBorder="1" applyAlignment="1" applyProtection="1"/>
    <xf numFmtId="171" fontId="192" fillId="0" borderId="0" xfId="0" applyNumberFormat="1" applyFont="1" applyFill="1" applyBorder="1" applyAlignment="1" applyProtection="1">
      <alignment horizontal="right"/>
    </xf>
    <xf numFmtId="171" fontId="198" fillId="0" borderId="39" xfId="0" applyNumberFormat="1" applyFont="1" applyFill="1" applyBorder="1" applyAlignment="1" applyProtection="1">
      <alignment vertical="center" wrapText="1"/>
    </xf>
    <xf numFmtId="171" fontId="192" fillId="43" borderId="0" xfId="0" applyNumberFormat="1" applyFont="1" applyFill="1" applyBorder="1" applyAlignment="1" applyProtection="1">
      <alignment horizontal="right"/>
    </xf>
    <xf numFmtId="171" fontId="198" fillId="43" borderId="53" xfId="0" applyNumberFormat="1" applyFont="1" applyFill="1" applyBorder="1" applyAlignment="1" applyProtection="1">
      <alignment vertical="center" wrapText="1"/>
    </xf>
    <xf numFmtId="171" fontId="198" fillId="43" borderId="39" xfId="0" applyNumberFormat="1" applyFont="1" applyFill="1" applyBorder="1" applyAlignment="1" applyProtection="1">
      <alignment vertical="center" wrapText="1"/>
    </xf>
    <xf numFmtId="171" fontId="198" fillId="43" borderId="39" xfId="0" applyNumberFormat="1" applyFont="1" applyFill="1" applyBorder="1" applyAlignment="1" applyProtection="1">
      <alignment horizontal="right" vertical="center" wrapText="1"/>
    </xf>
    <xf numFmtId="0" fontId="191" fillId="0" borderId="28" xfId="1824" applyFont="1" applyBorder="1" applyAlignment="1" applyProtection="1">
      <alignment vertical="center"/>
      <protection hidden="1"/>
    </xf>
    <xf numFmtId="0" fontId="197" fillId="42" borderId="27" xfId="0" applyFont="1" applyFill="1" applyBorder="1" applyAlignment="1" applyProtection="1">
      <alignment vertical="center" wrapText="1"/>
      <protection hidden="1"/>
    </xf>
    <xf numFmtId="171" fontId="198" fillId="42" borderId="52" xfId="0" applyNumberFormat="1" applyFont="1" applyFill="1" applyBorder="1" applyAlignment="1" applyProtection="1">
      <alignment vertical="center" wrapText="1"/>
      <protection hidden="1"/>
    </xf>
    <xf numFmtId="230" fontId="15" fillId="0" borderId="0" xfId="0" applyNumberFormat="1" applyFont="1" applyFill="1" applyBorder="1" applyAlignment="1" applyProtection="1">
      <alignment vertical="justify"/>
    </xf>
    <xf numFmtId="230" fontId="15" fillId="0" borderId="0" xfId="0" applyNumberFormat="1" applyFont="1" applyFill="1" applyBorder="1" applyAlignment="1" applyProtection="1">
      <alignment vertical="top"/>
    </xf>
    <xf numFmtId="230" fontId="15" fillId="0" borderId="54" xfId="0" applyNumberFormat="1" applyFont="1" applyFill="1" applyBorder="1" applyAlignment="1" applyProtection="1">
      <alignment vertical="justify"/>
    </xf>
    <xf numFmtId="0" fontId="194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6" fillId="0" borderId="0" xfId="793" applyFont="1" applyFill="1" applyBorder="1" applyAlignment="1" applyProtection="1">
      <alignment horizontal="center"/>
      <protection hidden="1"/>
    </xf>
    <xf numFmtId="177" fontId="26" fillId="0" borderId="34" xfId="612" applyNumberFormat="1" applyFont="1" applyFill="1" applyBorder="1" applyAlignment="1" applyProtection="1">
      <alignment horizontal="left"/>
      <protection hidden="1"/>
    </xf>
    <xf numFmtId="177" fontId="26" fillId="0" borderId="0" xfId="612" applyNumberFormat="1" applyFont="1" applyFill="1" applyBorder="1" applyAlignment="1" applyProtection="1">
      <alignment horizontal="left"/>
      <protection hidden="1"/>
    </xf>
    <xf numFmtId="0" fontId="14" fillId="0" borderId="0" xfId="792" applyFont="1" applyFill="1" applyBorder="1" applyProtection="1">
      <protection hidden="1"/>
    </xf>
    <xf numFmtId="0" fontId="14" fillId="0" borderId="41" xfId="792" applyFont="1" applyFill="1" applyBorder="1" applyProtection="1">
      <protection hidden="1"/>
    </xf>
    <xf numFmtId="0" fontId="15" fillId="0" borderId="56" xfId="0" applyFont="1" applyBorder="1" applyAlignment="1" applyProtection="1">
      <alignment horizontal="center"/>
      <protection hidden="1"/>
    </xf>
    <xf numFmtId="177" fontId="14" fillId="0" borderId="0" xfId="612" applyNumberFormat="1" applyFont="1" applyFill="1" applyBorder="1" applyAlignment="1" applyProtection="1">
      <alignment horizontal="left" indent="1"/>
      <protection hidden="1"/>
    </xf>
    <xf numFmtId="171" fontId="15" fillId="0" borderId="46" xfId="0" applyNumberFormat="1" applyFont="1" applyFill="1" applyBorder="1" applyAlignment="1" applyProtection="1">
      <protection hidden="1"/>
    </xf>
    <xf numFmtId="171" fontId="15" fillId="0" borderId="0" xfId="0" applyNumberFormat="1" applyFont="1" applyFill="1" applyBorder="1" applyAlignment="1" applyProtection="1">
      <protection hidden="1"/>
    </xf>
    <xf numFmtId="0" fontId="15" fillId="0" borderId="55" xfId="0" applyFont="1" applyBorder="1" applyAlignment="1" applyProtection="1">
      <alignment horizontal="center"/>
      <protection hidden="1"/>
    </xf>
    <xf numFmtId="177" fontId="26" fillId="0" borderId="0" xfId="612" applyNumberFormat="1" applyFont="1" applyFill="1" applyBorder="1" applyAlignment="1" applyProtection="1">
      <alignment horizontal="left" indent="1"/>
      <protection hidden="1"/>
    </xf>
    <xf numFmtId="171" fontId="15" fillId="0" borderId="0" xfId="0" applyNumberFormat="1" applyFont="1" applyFill="1" applyBorder="1" applyAlignment="1" applyProtection="1">
      <alignment horizontal="right"/>
      <protection hidden="1"/>
    </xf>
    <xf numFmtId="177" fontId="34" fillId="0" borderId="0" xfId="612" applyNumberFormat="1" applyFont="1" applyFill="1" applyBorder="1" applyAlignment="1" applyProtection="1">
      <alignment horizontal="left" indent="2"/>
      <protection hidden="1"/>
    </xf>
    <xf numFmtId="0" fontId="15" fillId="0" borderId="57" xfId="0" applyFont="1" applyBorder="1" applyAlignment="1" applyProtection="1">
      <alignment horizontal="center"/>
      <protection hidden="1"/>
    </xf>
    <xf numFmtId="0" fontId="195" fillId="0" borderId="0" xfId="0" applyFont="1" applyFill="1" applyBorder="1" applyAlignment="1" applyProtection="1">
      <alignment horizontal="center" vertical="center" wrapText="1"/>
      <protection hidden="1"/>
    </xf>
    <xf numFmtId="0" fontId="203" fillId="0" borderId="0" xfId="1824" applyFont="1" applyFill="1" applyBorder="1" applyAlignment="1" applyProtection="1">
      <alignment horizontal="center" vertical="center"/>
      <protection hidden="1"/>
    </xf>
    <xf numFmtId="0" fontId="189" fillId="0" borderId="0" xfId="1824" applyFont="1" applyFill="1" applyBorder="1" applyAlignment="1" applyProtection="1">
      <alignment horizontal="left" vertical="center"/>
      <protection hidden="1"/>
    </xf>
    <xf numFmtId="0" fontId="189" fillId="0" borderId="39" xfId="1824" applyFont="1" applyFill="1" applyBorder="1" applyAlignment="1" applyProtection="1">
      <alignment horizontal="left" vertical="center"/>
      <protection hidden="1"/>
    </xf>
    <xf numFmtId="177" fontId="27" fillId="0" borderId="0" xfId="612" applyNumberFormat="1" applyFont="1" applyFill="1" applyBorder="1" applyAlignment="1" applyProtection="1">
      <alignment horizontal="left" indent="3"/>
      <protection hidden="1"/>
    </xf>
    <xf numFmtId="171" fontId="20" fillId="0" borderId="46" xfId="0" applyNumberFormat="1" applyFont="1" applyFill="1" applyBorder="1" applyAlignment="1" applyProtection="1">
      <protection hidden="1"/>
    </xf>
    <xf numFmtId="0" fontId="196" fillId="0" borderId="35" xfId="0" applyFont="1" applyFill="1" applyBorder="1" applyAlignment="1" applyProtection="1">
      <alignment horizontal="center" vertical="center" wrapText="1"/>
      <protection hidden="1"/>
    </xf>
    <xf numFmtId="171" fontId="20" fillId="0" borderId="0" xfId="0" applyNumberFormat="1" applyFont="1" applyFill="1" applyBorder="1" applyAlignment="1" applyProtection="1">
      <protection hidden="1"/>
    </xf>
    <xf numFmtId="0" fontId="15" fillId="0" borderId="58" xfId="0" quotePrefix="1" applyFont="1" applyBorder="1" applyAlignment="1" applyProtection="1">
      <alignment horizontal="center" vertical="center"/>
      <protection hidden="1"/>
    </xf>
    <xf numFmtId="0" fontId="15" fillId="0" borderId="0" xfId="0" quotePrefix="1" applyFont="1" applyAlignment="1" applyProtection="1">
      <alignment horizontal="left" vertical="center"/>
      <protection hidden="1"/>
    </xf>
    <xf numFmtId="0" fontId="15" fillId="0" borderId="45" xfId="1824" applyFont="1" applyFill="1" applyBorder="1" applyAlignment="1" applyProtection="1">
      <alignment horizontal="left" vertical="center"/>
      <protection hidden="1"/>
    </xf>
    <xf numFmtId="0" fontId="190" fillId="0" borderId="34" xfId="0" applyFont="1" applyFill="1" applyBorder="1" applyAlignment="1" applyProtection="1">
      <alignment vertical="center"/>
      <protection hidden="1"/>
    </xf>
    <xf numFmtId="0" fontId="189" fillId="0" borderId="62" xfId="1824" applyFont="1" applyFill="1" applyBorder="1" applyAlignment="1" applyProtection="1">
      <alignment horizontal="left" vertical="center"/>
      <protection hidden="1"/>
    </xf>
    <xf numFmtId="0" fontId="189" fillId="0" borderId="61" xfId="1824" applyFont="1" applyFill="1" applyBorder="1" applyAlignment="1" applyProtection="1">
      <alignment horizontal="left" vertical="center"/>
      <protection hidden="1"/>
    </xf>
    <xf numFmtId="177" fontId="34" fillId="0" borderId="0" xfId="612" applyNumberFormat="1" applyFont="1" applyFill="1" applyBorder="1" applyAlignment="1" applyProtection="1">
      <alignment horizontal="left" indent="4"/>
      <protection hidden="1"/>
    </xf>
    <xf numFmtId="171" fontId="20" fillId="0" borderId="41" xfId="0" applyNumberFormat="1" applyFont="1" applyFill="1" applyBorder="1" applyAlignment="1" applyProtection="1">
      <protection hidden="1"/>
    </xf>
    <xf numFmtId="0" fontId="203" fillId="41" borderId="63" xfId="1824" quotePrefix="1" applyFont="1" applyFill="1" applyBorder="1" applyAlignment="1" applyProtection="1">
      <alignment horizontal="center" vertical="center"/>
      <protection hidden="1"/>
    </xf>
    <xf numFmtId="0" fontId="15" fillId="41" borderId="63" xfId="1824" applyFont="1" applyFill="1" applyBorder="1" applyAlignment="1" applyProtection="1">
      <alignment vertical="center"/>
      <protection hidden="1"/>
    </xf>
    <xf numFmtId="0" fontId="15" fillId="41" borderId="64" xfId="1824" applyFont="1" applyFill="1" applyBorder="1" applyAlignment="1" applyProtection="1">
      <alignment horizontal="left" vertical="center"/>
      <protection hidden="1"/>
    </xf>
    <xf numFmtId="171" fontId="125" fillId="0" borderId="0" xfId="0" applyNumberFormat="1" applyFont="1" applyFill="1" applyBorder="1" applyAlignment="1" applyProtection="1">
      <protection hidden="1"/>
    </xf>
    <xf numFmtId="171" fontId="125" fillId="0" borderId="41" xfId="0" applyNumberFormat="1" applyFont="1" applyFill="1" applyBorder="1" applyAlignment="1" applyProtection="1">
      <protection hidden="1"/>
    </xf>
    <xf numFmtId="0" fontId="203" fillId="41" borderId="59" xfId="1824" applyFont="1" applyFill="1" applyBorder="1" applyAlignment="1" applyProtection="1">
      <alignment horizontal="center" vertical="center"/>
      <protection hidden="1"/>
    </xf>
    <xf numFmtId="0" fontId="15" fillId="41" borderId="59" xfId="1824" applyFont="1" applyFill="1" applyBorder="1" applyAlignment="1" applyProtection="1">
      <alignment vertical="center"/>
      <protection hidden="1"/>
    </xf>
    <xf numFmtId="0" fontId="15" fillId="41" borderId="0" xfId="1824" applyFont="1" applyFill="1" applyBorder="1" applyAlignment="1" applyProtection="1">
      <alignment horizontal="left" vertical="center"/>
      <protection hidden="1"/>
    </xf>
    <xf numFmtId="177" fontId="126" fillId="0" borderId="0" xfId="612" applyNumberFormat="1" applyFont="1" applyFill="1" applyBorder="1" applyAlignment="1" applyProtection="1">
      <alignment horizontal="left" indent="5"/>
      <protection hidden="1"/>
    </xf>
    <xf numFmtId="0" fontId="187" fillId="0" borderId="47" xfId="0" applyFont="1" applyFill="1" applyBorder="1" applyAlignment="1" applyProtection="1">
      <alignment vertical="center" wrapText="1"/>
      <protection hidden="1"/>
    </xf>
    <xf numFmtId="0" fontId="15" fillId="41" borderId="60" xfId="1824" applyFont="1" applyFill="1" applyBorder="1" applyAlignment="1" applyProtection="1">
      <alignment vertical="center"/>
      <protection hidden="1"/>
    </xf>
    <xf numFmtId="171" fontId="125" fillId="41" borderId="0" xfId="0" applyNumberFormat="1" applyFont="1" applyFill="1" applyBorder="1" applyAlignment="1" applyProtection="1">
      <alignment horizontal="right"/>
      <protection hidden="1"/>
    </xf>
    <xf numFmtId="171" fontId="193" fillId="39" borderId="27" xfId="0" applyNumberFormat="1" applyFont="1" applyFill="1" applyBorder="1" applyAlignment="1" applyProtection="1">
      <alignment horizontal="right" vertical="center" wrapText="1"/>
    </xf>
    <xf numFmtId="230" fontId="15" fillId="0" borderId="27" xfId="0" applyNumberFormat="1" applyFont="1" applyFill="1" applyBorder="1" applyAlignment="1" applyProtection="1">
      <alignment vertical="justify"/>
    </xf>
    <xf numFmtId="230" fontId="15" fillId="0" borderId="27" xfId="0" applyNumberFormat="1" applyFont="1" applyFill="1" applyBorder="1" applyAlignment="1" applyProtection="1">
      <alignment vertical="top"/>
    </xf>
    <xf numFmtId="230" fontId="15" fillId="0" borderId="65" xfId="0" applyNumberFormat="1" applyFont="1" applyFill="1" applyBorder="1" applyAlignment="1" applyProtection="1">
      <alignment vertical="justify"/>
    </xf>
    <xf numFmtId="0" fontId="206" fillId="0" borderId="0" xfId="0" applyFont="1"/>
    <xf numFmtId="171" fontId="193" fillId="39" borderId="0" xfId="0" applyNumberFormat="1" applyFont="1" applyFill="1" applyBorder="1" applyAlignment="1" applyProtection="1">
      <alignment horizontal="right" vertical="center" wrapText="1"/>
      <protection hidden="1"/>
    </xf>
    <xf numFmtId="171" fontId="192" fillId="0" borderId="0" xfId="0" applyNumberFormat="1" applyFont="1" applyFill="1" applyBorder="1" applyAlignment="1" applyProtection="1">
      <alignment horizontal="right"/>
      <protection hidden="1"/>
    </xf>
    <xf numFmtId="171" fontId="198" fillId="0" borderId="39" xfId="0" applyNumberFormat="1" applyFont="1" applyFill="1" applyBorder="1" applyAlignment="1" applyProtection="1">
      <alignment vertical="center" wrapText="1"/>
      <protection hidden="1"/>
    </xf>
    <xf numFmtId="0" fontId="204" fillId="39" borderId="51" xfId="0" applyFont="1" applyFill="1" applyBorder="1" applyAlignment="1" applyProtection="1">
      <alignment horizontal="center" vertical="center" wrapText="1"/>
      <protection hidden="1"/>
    </xf>
    <xf numFmtId="0" fontId="204" fillId="39" borderId="38" xfId="0" applyFont="1" applyFill="1" applyBorder="1" applyAlignment="1" applyProtection="1">
      <alignment horizontal="center" vertical="center" wrapText="1"/>
      <protection hidden="1"/>
    </xf>
    <xf numFmtId="0" fontId="196" fillId="41" borderId="48" xfId="0" applyFont="1" applyFill="1" applyBorder="1" applyAlignment="1" applyProtection="1">
      <alignment horizontal="center" vertical="center" wrapText="1"/>
      <protection hidden="1"/>
    </xf>
    <xf numFmtId="0" fontId="196" fillId="41" borderId="49" xfId="0" applyFont="1" applyFill="1" applyBorder="1" applyAlignment="1" applyProtection="1">
      <alignment horizontal="center" vertical="center" wrapText="1"/>
      <protection hidden="1"/>
    </xf>
    <xf numFmtId="0" fontId="196" fillId="41" borderId="50" xfId="0" applyFont="1" applyFill="1" applyBorder="1" applyAlignment="1" applyProtection="1">
      <alignment horizontal="center" vertical="center" wrapText="1"/>
      <protection hidden="1"/>
    </xf>
    <xf numFmtId="0" fontId="196" fillId="41" borderId="36" xfId="0" applyFont="1" applyFill="1" applyBorder="1" applyAlignment="1" applyProtection="1">
      <alignment horizontal="center" vertical="center" wrapText="1"/>
      <protection hidden="1"/>
    </xf>
    <xf numFmtId="0" fontId="196" fillId="41" borderId="38" xfId="0" applyFont="1" applyFill="1" applyBorder="1" applyAlignment="1" applyProtection="1">
      <alignment horizontal="center" vertical="center" wrapText="1"/>
      <protection hidden="1"/>
    </xf>
    <xf numFmtId="0" fontId="16" fillId="0" borderId="0" xfId="793" applyFont="1" applyFill="1" applyBorder="1" applyAlignment="1" applyProtection="1">
      <alignment horizontal="center" vertical="center"/>
      <protection hidden="1"/>
    </xf>
    <xf numFmtId="0" fontId="16" fillId="0" borderId="54" xfId="793" applyFont="1" applyFill="1" applyBorder="1" applyAlignment="1" applyProtection="1">
      <alignment horizontal="center" vertical="center"/>
      <protection hidden="1"/>
    </xf>
    <xf numFmtId="0" fontId="16" fillId="0" borderId="0" xfId="793" applyFont="1" applyFill="1" applyBorder="1" applyAlignment="1">
      <alignment horizontal="center" vertical="center"/>
    </xf>
    <xf numFmtId="0" fontId="16" fillId="0" borderId="0" xfId="793" applyFont="1" applyFill="1" applyBorder="1" applyAlignment="1">
      <alignment horizontal="center" vertical="center" wrapText="1"/>
    </xf>
    <xf numFmtId="0" fontId="16" fillId="0" borderId="0" xfId="792" applyFont="1" applyFill="1" applyBorder="1" applyAlignment="1" applyProtection="1">
      <alignment horizontal="center" vertical="center"/>
      <protection hidden="1"/>
    </xf>
    <xf numFmtId="0" fontId="196" fillId="0" borderId="36" xfId="0" applyFont="1" applyFill="1" applyBorder="1" applyAlignment="1" applyProtection="1">
      <alignment horizontal="center" vertical="center" wrapText="1"/>
      <protection hidden="1"/>
    </xf>
    <xf numFmtId="0" fontId="196" fillId="0" borderId="37" xfId="0" applyFont="1" applyFill="1" applyBorder="1" applyAlignment="1" applyProtection="1">
      <alignment horizontal="center" vertical="center" wrapText="1"/>
      <protection hidden="1"/>
    </xf>
    <xf numFmtId="0" fontId="196" fillId="0" borderId="38" xfId="0" applyFont="1" applyFill="1" applyBorder="1" applyAlignment="1" applyProtection="1">
      <alignment horizontal="center" vertical="center" wrapText="1"/>
      <protection hidden="1"/>
    </xf>
    <xf numFmtId="0" fontId="15" fillId="0" borderId="40" xfId="0" applyFont="1" applyFill="1" applyBorder="1" applyAlignment="1" applyProtection="1">
      <alignment horizontal="left" vertical="center" wrapText="1"/>
      <protection hidden="1"/>
    </xf>
    <xf numFmtId="0" fontId="15" fillId="0" borderId="43" xfId="0" applyFont="1" applyFill="1" applyBorder="1" applyAlignment="1" applyProtection="1">
      <alignment horizontal="left" vertical="center" wrapText="1"/>
      <protection hidden="1"/>
    </xf>
    <xf numFmtId="0" fontId="15" fillId="0" borderId="41" xfId="0" applyFont="1" applyFill="1" applyBorder="1" applyAlignment="1" applyProtection="1">
      <alignment horizontal="left" vertical="center" wrapText="1"/>
      <protection hidden="1"/>
    </xf>
    <xf numFmtId="0" fontId="15" fillId="0" borderId="46" xfId="0" applyFont="1" applyFill="1" applyBorder="1" applyAlignment="1" applyProtection="1">
      <alignment horizontal="left" vertical="center" wrapText="1"/>
      <protection hidden="1"/>
    </xf>
    <xf numFmtId="0" fontId="15" fillId="0" borderId="42" xfId="0" applyFont="1" applyFill="1" applyBorder="1" applyAlignment="1" applyProtection="1">
      <alignment horizontal="left" vertical="center" wrapText="1"/>
      <protection hidden="1"/>
    </xf>
    <xf numFmtId="0" fontId="15" fillId="0" borderId="44" xfId="0" applyFont="1" applyFill="1" applyBorder="1" applyAlignment="1" applyProtection="1">
      <alignment horizontal="left" vertical="center" wrapText="1"/>
      <protection hidden="1"/>
    </xf>
    <xf numFmtId="0" fontId="202" fillId="42" borderId="27" xfId="1825" applyFont="1" applyFill="1" applyBorder="1" applyAlignment="1" applyProtection="1">
      <alignment horizontal="center" vertical="center" textRotation="90" wrapText="1"/>
      <protection hidden="1"/>
    </xf>
    <xf numFmtId="0" fontId="202" fillId="42" borderId="52" xfId="1825" applyFont="1" applyFill="1" applyBorder="1" applyAlignment="1" applyProtection="1">
      <alignment horizontal="center" vertical="center" textRotation="90" wrapText="1"/>
      <protection hidden="1"/>
    </xf>
    <xf numFmtId="171" fontId="14" fillId="39" borderId="26" xfId="0" applyNumberFormat="1" applyFont="1" applyFill="1" applyBorder="1" applyAlignment="1" applyProtection="1">
      <alignment horizontal="left" vertical="center" wrapText="1"/>
      <protection hidden="1"/>
    </xf>
    <xf numFmtId="171" fontId="14" fillId="39" borderId="24" xfId="0" applyNumberFormat="1" applyFont="1" applyFill="1" applyBorder="1" applyAlignment="1" applyProtection="1">
      <alignment horizontal="left" vertical="center" wrapText="1"/>
      <protection hidden="1"/>
    </xf>
    <xf numFmtId="0" fontId="202" fillId="40" borderId="27" xfId="1825" applyFont="1" applyFill="1" applyBorder="1" applyAlignment="1" applyProtection="1">
      <alignment horizontal="center" vertical="center" textRotation="90" wrapText="1"/>
      <protection hidden="1"/>
    </xf>
    <xf numFmtId="0" fontId="202" fillId="40" borderId="52" xfId="1825" applyFont="1" applyFill="1" applyBorder="1" applyAlignment="1" applyProtection="1">
      <alignment horizontal="center" vertical="center" textRotation="90" wrapText="1"/>
      <protection hidden="1"/>
    </xf>
    <xf numFmtId="0" fontId="3" fillId="0" borderId="0" xfId="792" applyFont="1" applyAlignment="1" applyProtection="1">
      <alignment horizontal="left" wrapText="1"/>
      <protection hidden="1"/>
    </xf>
    <xf numFmtId="171" fontId="14" fillId="39" borderId="0" xfId="0" applyNumberFormat="1" applyFont="1" applyFill="1" applyBorder="1" applyAlignment="1" applyProtection="1">
      <alignment horizontal="left" vertical="center" wrapText="1"/>
      <protection hidden="1"/>
    </xf>
    <xf numFmtId="229" fontId="15" fillId="43" borderId="25" xfId="0" applyNumberFormat="1" applyFont="1" applyFill="1" applyBorder="1" applyAlignment="1" applyProtection="1">
      <alignment horizontal="center" vertical="center" wrapText="1"/>
      <protection hidden="1"/>
    </xf>
    <xf numFmtId="229" fontId="15" fillId="43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wrapText="1"/>
    </xf>
    <xf numFmtId="171" fontId="14" fillId="39" borderId="27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wrapText="1"/>
    </xf>
    <xf numFmtId="171" fontId="192" fillId="43" borderId="0" xfId="0" applyNumberFormat="1" applyFont="1" applyFill="1" applyBorder="1" applyAlignment="1" applyProtection="1">
      <alignment horizontal="right"/>
      <protection hidden="1"/>
    </xf>
    <xf numFmtId="171" fontId="193" fillId="39" borderId="0" xfId="0" applyNumberFormat="1" applyFont="1" applyFill="1" applyBorder="1" applyAlignment="1">
      <alignment horizontal="right" vertical="center" wrapText="1"/>
    </xf>
    <xf numFmtId="171" fontId="192" fillId="0" borderId="0" xfId="0" applyNumberFormat="1" applyFont="1" applyFill="1" applyBorder="1" applyAlignment="1">
      <alignment horizontal="right" vertical="center"/>
    </xf>
    <xf numFmtId="171" fontId="198" fillId="0" borderId="39" xfId="0" applyNumberFormat="1" applyFont="1" applyFill="1" applyBorder="1" applyAlignment="1">
      <alignment vertical="center" wrapText="1"/>
    </xf>
  </cellXfs>
  <cellStyles count="1826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4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5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C4D79B"/>
      <color rgb="FF005B2B"/>
      <color rgb="FF000000"/>
      <color rgb="FF009B78"/>
      <color rgb="FF008278"/>
      <color rgb="FF00C878"/>
      <color rgb="FF006478"/>
      <color rgb="FF00B45A"/>
      <color rgb="FF00C04E"/>
      <color rgb="FF00D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A$1" fmlaRange="$A$2:$A$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7620</xdr:rowOff>
        </xdr:from>
        <xdr:to>
          <xdr:col>1</xdr:col>
          <xdr:colOff>7620</xdr:colOff>
          <xdr:row>1</xdr:row>
          <xdr:rowOff>182880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5</xdr:row>
      <xdr:rowOff>9525</xdr:rowOff>
    </xdr:from>
    <xdr:to>
      <xdr:col>7</xdr:col>
      <xdr:colOff>0</xdr:colOff>
      <xdr:row>13</xdr:row>
      <xdr:rowOff>257175</xdr:rowOff>
    </xdr:to>
    <xdr:grpSp>
      <xdr:nvGrpSpPr>
        <xdr:cNvPr id="2" name="Групуват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73480" y="1076325"/>
          <a:ext cx="8808720" cy="2015490"/>
          <a:chOff x="1076325" y="1228725"/>
          <a:chExt cx="7086600" cy="2038350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52132" y="1685925"/>
            <a:ext cx="984508" cy="64770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сполучна лінія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H="1">
            <a:off x="1076325" y="1228725"/>
            <a:ext cx="19051" cy="1228725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076325" y="2447925"/>
            <a:ext cx="175260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Пряма зі стрілкою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4661420" y="2343150"/>
            <a:ext cx="1003821" cy="2762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Пряма зі стрілкою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4652132" y="2324100"/>
            <a:ext cx="993796" cy="94297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Пряма зі стрілкою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CxnSpPr/>
        </xdr:nvCxnSpPr>
        <xdr:spPr>
          <a:xfrm flipV="1">
            <a:off x="7181850" y="170497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Пряма зі стрілкою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 flipV="1">
            <a:off x="7181850" y="2590800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Пряма зі стрілкою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CxnSpPr/>
        </xdr:nvCxnSpPr>
        <xdr:spPr>
          <a:xfrm flipV="1">
            <a:off x="7191375" y="322897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F9ED7A5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C56E81A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2EE5ED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851D12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19"/>
  <sheetViews>
    <sheetView showGridLines="0" tabSelected="1" showOutlineSymbols="0" zoomScaleNormal="100" zoomScaleSheetLayoutView="130" workbookViewId="0">
      <selection activeCell="H16" sqref="H16"/>
    </sheetView>
  </sheetViews>
  <sheetFormatPr defaultColWidth="9.33203125" defaultRowHeight="13.2"/>
  <cols>
    <col min="1" max="1" width="8.77734375" style="1" customWidth="1"/>
    <col min="2" max="2" width="24.77734375" style="5" customWidth="1"/>
    <col min="3" max="3" width="15.77734375" style="5" customWidth="1"/>
    <col min="4" max="4" width="33.33203125" style="5" customWidth="1"/>
    <col min="5" max="5" width="17.6640625" style="5" customWidth="1"/>
    <col min="6" max="6" width="28.109375" style="5" customWidth="1"/>
    <col min="7" max="7" width="17.109375" style="5" customWidth="1"/>
    <col min="8" max="8" width="6.6640625" style="5" customWidth="1"/>
    <col min="9" max="9" width="11.33203125" style="5" customWidth="1"/>
    <col min="10" max="10" width="52.109375" style="5" customWidth="1"/>
    <col min="11" max="11" width="15.109375" style="5" customWidth="1"/>
    <col min="12" max="12" width="8" style="5" customWidth="1"/>
    <col min="13" max="13" width="10.6640625" style="5" customWidth="1"/>
    <col min="14" max="17" width="7.6640625" style="5" customWidth="1"/>
    <col min="18" max="18" width="9" style="5" customWidth="1"/>
    <col min="19" max="20" width="7.6640625" style="5" customWidth="1"/>
    <col min="21" max="22" width="7.109375" style="5" customWidth="1"/>
    <col min="23" max="24" width="9.33203125" style="5"/>
    <col min="25" max="16384" width="9.33203125" style="1"/>
  </cols>
  <sheetData>
    <row r="1" spans="1:24" s="37" customFormat="1" ht="14.1" customHeight="1">
      <c r="A1" s="35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s="37" customFormat="1" ht="14.1" customHeight="1">
      <c r="A2" s="38" t="s">
        <v>1</v>
      </c>
      <c r="B2" s="41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36"/>
      <c r="X2" s="36"/>
    </row>
    <row r="3" spans="1:24" s="37" customFormat="1" ht="14.1" customHeight="1" thickBot="1">
      <c r="A3" s="34" t="s">
        <v>2</v>
      </c>
      <c r="B3" s="39"/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36"/>
      <c r="X3" s="36"/>
    </row>
    <row r="4" spans="1:24" ht="21.75" customHeight="1" thickTop="1">
      <c r="A4" s="34"/>
      <c r="B4" s="126" t="str">
        <f>IF(A1=1,"ЦІНИ","PRICES")</f>
        <v>ЦІНИ</v>
      </c>
      <c r="C4" s="74"/>
      <c r="D4" s="137"/>
      <c r="E4" s="75"/>
      <c r="F4" s="75"/>
      <c r="G4" s="75"/>
      <c r="H4" s="133"/>
      <c r="I4" s="75"/>
      <c r="J4" s="75"/>
      <c r="K4" s="22"/>
      <c r="L4" s="22"/>
      <c r="M4" s="136"/>
      <c r="N4" s="22"/>
      <c r="O4" s="22"/>
      <c r="P4" s="22"/>
      <c r="Q4" s="22"/>
      <c r="R4" s="135"/>
      <c r="S4" s="22"/>
      <c r="T4" s="22"/>
      <c r="U4" s="22"/>
      <c r="V4" s="22"/>
    </row>
    <row r="5" spans="1:24" ht="21" customHeight="1" thickBot="1">
      <c r="A5" s="34"/>
      <c r="B5" s="127"/>
      <c r="C5" s="74"/>
      <c r="D5" s="137"/>
      <c r="E5" s="76"/>
      <c r="F5" s="76"/>
      <c r="G5" s="76"/>
      <c r="H5" s="134"/>
      <c r="I5" s="76"/>
      <c r="J5" s="76"/>
      <c r="K5" s="23"/>
      <c r="L5" s="23"/>
      <c r="M5" s="136"/>
      <c r="N5" s="24"/>
      <c r="O5" s="24"/>
      <c r="P5" s="24"/>
      <c r="Q5" s="24"/>
      <c r="R5" s="135"/>
      <c r="S5" s="24"/>
      <c r="T5" s="24"/>
      <c r="U5" s="24"/>
      <c r="V5" s="24"/>
    </row>
    <row r="6" spans="1:24" ht="16.5" customHeight="1" thickTop="1">
      <c r="A6" s="2"/>
      <c r="B6" s="77"/>
      <c r="C6" s="78"/>
      <c r="D6" s="128" t="str">
        <f>IF(A1=1,"Індекс споживчих цін (зміна показника)","Consumer price indices (indicator change)")</f>
        <v>Індекс споживчих цін (зміна показника)</v>
      </c>
      <c r="E6" s="79"/>
      <c r="F6" s="138" t="str">
        <f>IF(A1=1,"Місяць","Month")</f>
        <v>Місяць</v>
      </c>
      <c r="G6" s="80"/>
      <c r="H6" s="81">
        <v>1</v>
      </c>
      <c r="I6" s="141" t="str">
        <f>IF(A1=1,"до попереднього місяця, %","to the previous month, %")</f>
        <v>до попереднього місяця, %</v>
      </c>
      <c r="J6" s="142"/>
      <c r="K6" s="25"/>
      <c r="L6" s="26"/>
      <c r="M6" s="25"/>
      <c r="N6" s="25"/>
      <c r="O6" s="26"/>
      <c r="P6" s="26"/>
      <c r="Q6" s="26"/>
      <c r="R6" s="26"/>
      <c r="S6" s="26"/>
      <c r="T6" s="27"/>
      <c r="U6" s="27"/>
      <c r="V6" s="27"/>
    </row>
    <row r="7" spans="1:24" s="2" customFormat="1" ht="22.5" customHeight="1">
      <c r="B7" s="82"/>
      <c r="C7" s="82"/>
      <c r="D7" s="129"/>
      <c r="E7" s="83"/>
      <c r="F7" s="139"/>
      <c r="G7" s="84"/>
      <c r="H7" s="85">
        <v>2</v>
      </c>
      <c r="I7" s="143" t="str">
        <f>IF(A1=1,"до грудня попереднього року, %","to December of the previous year, %")</f>
        <v>до грудня попереднього року, %</v>
      </c>
      <c r="J7" s="144"/>
      <c r="K7" s="11"/>
      <c r="L7" s="11"/>
      <c r="M7" s="12"/>
      <c r="N7" s="13"/>
      <c r="O7" s="13"/>
      <c r="P7" s="13"/>
      <c r="Q7" s="13"/>
      <c r="R7" s="12"/>
      <c r="S7" s="13"/>
      <c r="T7" s="13"/>
      <c r="U7" s="13"/>
      <c r="V7" s="13"/>
      <c r="W7" s="6"/>
      <c r="X7" s="6"/>
    </row>
    <row r="8" spans="1:24" ht="16.5" customHeight="1">
      <c r="B8" s="86"/>
      <c r="C8" s="86"/>
      <c r="D8" s="129"/>
      <c r="E8" s="87"/>
      <c r="F8" s="139"/>
      <c r="G8" s="87"/>
      <c r="H8" s="85">
        <v>3</v>
      </c>
      <c r="I8" s="143" t="str">
        <f>IF(A1=1,"до відповідного періоду попереднього року, кумулятивно, %","to соrresponding period of the previous year, cumulative, %")</f>
        <v>до відповідного періоду попереднього року, кумулятивно, %</v>
      </c>
      <c r="J8" s="144"/>
      <c r="K8" s="14"/>
      <c r="L8" s="14"/>
      <c r="M8" s="12"/>
      <c r="N8" s="3"/>
      <c r="O8" s="3"/>
      <c r="P8" s="3"/>
      <c r="Q8" s="3"/>
      <c r="R8" s="12"/>
      <c r="S8" s="3"/>
      <c r="T8" s="3"/>
      <c r="U8" s="3"/>
      <c r="V8" s="3"/>
    </row>
    <row r="9" spans="1:24" ht="21.75" customHeight="1" thickBot="1">
      <c r="B9" s="88"/>
      <c r="C9" s="88"/>
      <c r="D9" s="129"/>
      <c r="E9" s="84"/>
      <c r="F9" s="140"/>
      <c r="G9" s="84"/>
      <c r="H9" s="89">
        <v>4</v>
      </c>
      <c r="I9" s="145" t="str">
        <f>IF(A1=1,"до відповідного місяця попереднього року, %","to соrresponding month of the previous year, %")</f>
        <v>до відповідного місяця попереднього року, %</v>
      </c>
      <c r="J9" s="146"/>
      <c r="K9" s="14"/>
      <c r="L9" s="14"/>
      <c r="M9" s="12"/>
      <c r="N9" s="3"/>
      <c r="O9" s="3"/>
      <c r="P9" s="3"/>
      <c r="Q9" s="3"/>
      <c r="R9" s="12"/>
      <c r="S9" s="3"/>
      <c r="T9" s="3"/>
      <c r="U9" s="3"/>
      <c r="V9" s="3"/>
    </row>
    <row r="10" spans="1:24" ht="9.75" customHeight="1" thickTop="1">
      <c r="B10" s="88"/>
      <c r="C10" s="88"/>
      <c r="D10" s="129"/>
      <c r="E10" s="84"/>
      <c r="F10" s="90"/>
      <c r="G10" s="84"/>
      <c r="H10" s="91"/>
      <c r="I10" s="92"/>
      <c r="J10" s="92"/>
      <c r="K10" s="14"/>
      <c r="L10" s="14"/>
      <c r="M10" s="12"/>
      <c r="N10" s="3"/>
      <c r="O10" s="3"/>
      <c r="P10" s="3"/>
      <c r="Q10" s="3"/>
      <c r="R10" s="12"/>
      <c r="S10" s="3"/>
      <c r="T10" s="3"/>
      <c r="U10" s="3"/>
      <c r="V10" s="3"/>
    </row>
    <row r="11" spans="1:24" ht="4.5" customHeight="1" thickBot="1">
      <c r="B11" s="88"/>
      <c r="C11" s="88"/>
      <c r="D11" s="129"/>
      <c r="E11" s="84"/>
      <c r="F11" s="76"/>
      <c r="G11" s="84"/>
      <c r="H11" s="91"/>
      <c r="I11" s="93"/>
      <c r="J11" s="92"/>
      <c r="K11" s="14"/>
      <c r="L11" s="14"/>
      <c r="M11" s="12"/>
      <c r="N11" s="3"/>
      <c r="O11" s="3"/>
      <c r="P11" s="3"/>
      <c r="Q11" s="3"/>
      <c r="R11" s="12"/>
      <c r="S11" s="3"/>
      <c r="T11" s="3"/>
      <c r="U11" s="3"/>
      <c r="V11" s="3"/>
    </row>
    <row r="12" spans="1:24" s="2" customFormat="1" ht="33" customHeight="1" thickTop="1" thickBot="1">
      <c r="B12" s="94"/>
      <c r="C12" s="94"/>
      <c r="D12" s="129"/>
      <c r="E12" s="95"/>
      <c r="F12" s="96" t="str">
        <f>IF(A1=1,"Квартал","Quarter")</f>
        <v>Квартал</v>
      </c>
      <c r="G12" s="97"/>
      <c r="H12" s="98">
        <v>1</v>
      </c>
      <c r="I12" s="99" t="str">
        <f>IF(A1=1,"до грудня попереднього року, %","to December of the previous year, %")</f>
        <v>до грудня попереднього року, %</v>
      </c>
      <c r="J12" s="100"/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6"/>
      <c r="X12" s="6"/>
    </row>
    <row r="13" spans="1:24" s="2" customFormat="1" ht="16.5" customHeight="1" thickTop="1" thickBot="1">
      <c r="B13" s="94"/>
      <c r="C13" s="94"/>
      <c r="D13" s="129"/>
      <c r="E13" s="97"/>
      <c r="F13" s="76"/>
      <c r="G13" s="97"/>
      <c r="H13" s="101"/>
      <c r="I13" s="102"/>
      <c r="J13" s="103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6"/>
      <c r="X13" s="6"/>
    </row>
    <row r="14" spans="1:24" s="2" customFormat="1" ht="21.75" customHeight="1" thickTop="1">
      <c r="B14" s="104"/>
      <c r="C14" s="104"/>
      <c r="D14" s="129"/>
      <c r="E14" s="97"/>
      <c r="F14" s="131" t="str">
        <f>IF(A1=1,"Рік ","Year")</f>
        <v xml:space="preserve">Рік </v>
      </c>
      <c r="G14" s="105"/>
      <c r="H14" s="106">
        <v>1</v>
      </c>
      <c r="I14" s="107" t="str">
        <f>IF(A1=1,"грудень до грудня, %","December to December  of the previous year, %")</f>
        <v>грудень до грудня, %</v>
      </c>
      <c r="J14" s="108"/>
      <c r="K14" s="31"/>
      <c r="L14" s="1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6"/>
      <c r="X14" s="6"/>
    </row>
    <row r="15" spans="1:24" s="4" customFormat="1" ht="16.5" customHeight="1" thickBot="1">
      <c r="B15" s="104"/>
      <c r="C15" s="104"/>
      <c r="D15" s="130"/>
      <c r="E15" s="109"/>
      <c r="F15" s="132"/>
      <c r="G15" s="110"/>
      <c r="H15" s="111">
        <v>2</v>
      </c>
      <c r="I15" s="112" t="str">
        <f>IF(A1=1,"рік до попереднього року, %","Year to the previous year, %")</f>
        <v>рік до попереднього року, %</v>
      </c>
      <c r="J15" s="113"/>
      <c r="K15" s="45"/>
      <c r="L15" s="17"/>
      <c r="M15" s="18"/>
      <c r="N15" s="19"/>
      <c r="O15" s="19"/>
      <c r="P15" s="19"/>
      <c r="Q15" s="19"/>
      <c r="R15" s="20"/>
      <c r="S15" s="21"/>
      <c r="T15" s="21"/>
      <c r="U15" s="21"/>
      <c r="V15" s="21"/>
      <c r="W15" s="7"/>
      <c r="X15" s="7"/>
    </row>
    <row r="16" spans="1:24" s="4" customFormat="1" ht="15.75" customHeight="1" thickTop="1" thickBot="1">
      <c r="B16" s="114"/>
      <c r="C16" s="114"/>
      <c r="D16" s="115"/>
      <c r="E16" s="109"/>
      <c r="F16" s="109"/>
      <c r="G16" s="109"/>
      <c r="H16" s="111">
        <v>3</v>
      </c>
      <c r="I16" s="116" t="s">
        <v>3</v>
      </c>
      <c r="J16" s="117"/>
      <c r="K16" s="44"/>
      <c r="L16" s="17"/>
      <c r="M16" s="18"/>
      <c r="N16" s="19"/>
      <c r="O16" s="19"/>
      <c r="P16" s="19"/>
      <c r="Q16" s="19"/>
      <c r="R16" s="20"/>
      <c r="S16" s="21"/>
      <c r="T16" s="21"/>
      <c r="U16" s="21"/>
      <c r="V16" s="21"/>
      <c r="W16" s="7"/>
      <c r="X16" s="7"/>
    </row>
    <row r="17" spans="2:22" ht="16.2" thickTop="1">
      <c r="B17" s="9"/>
      <c r="C17" s="9"/>
      <c r="D17" s="28"/>
      <c r="E17" s="28"/>
      <c r="F17" s="28"/>
      <c r="G17" s="28"/>
      <c r="H17" s="46"/>
      <c r="I17" s="30"/>
      <c r="J17" s="43"/>
      <c r="K17" s="30"/>
      <c r="L17" s="30"/>
      <c r="M17" s="29"/>
      <c r="N17" s="30"/>
      <c r="O17" s="30"/>
      <c r="P17" s="30"/>
      <c r="Q17" s="30"/>
      <c r="R17" s="29"/>
      <c r="S17" s="30"/>
      <c r="T17" s="30"/>
      <c r="U17" s="30"/>
      <c r="V17" s="30"/>
    </row>
    <row r="18" spans="2:22" ht="15.75" customHeight="1">
      <c r="B18" s="8"/>
      <c r="C18" s="8"/>
    </row>
    <row r="19" spans="2:22">
      <c r="B19" s="10"/>
      <c r="C19" s="10"/>
    </row>
  </sheetData>
  <mergeCells count="12">
    <mergeCell ref="B4:B5"/>
    <mergeCell ref="D6:D15"/>
    <mergeCell ref="F14:F15"/>
    <mergeCell ref="H4:H5"/>
    <mergeCell ref="R4:R5"/>
    <mergeCell ref="M4:M5"/>
    <mergeCell ref="D4:D5"/>
    <mergeCell ref="F6:F9"/>
    <mergeCell ref="I6:J6"/>
    <mergeCell ref="I7:J7"/>
    <mergeCell ref="I8:J8"/>
    <mergeCell ref="I9:J9"/>
  </mergeCells>
  <phoneticPr fontId="18" type="noConversion"/>
  <hyperlinks>
    <hyperlink ref="I15" location="'рік до попереднього року'!A1" display="'рік до попереднього року'!A1"/>
    <hyperlink ref="I14" location="'грудень до грудня'!A1" display="'грудень до грудня'!A1"/>
    <hyperlink ref="H15" location="'2'!A1" display="'2'!A1"/>
    <hyperlink ref="H14" location="'1'!A1" display="'1'!A1"/>
    <hyperlink ref="H16" location="'3'!A1" display="'3'!A1"/>
  </hyperlinks>
  <pageMargins left="0.55118110236220474" right="0.11811023622047245" top="3.937007874015748E-2" bottom="7.874015748031496E-2" header="0.15748031496062992" footer="0.19685039370078741"/>
  <pageSetup paperSize="9" scale="57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7620</xdr:rowOff>
                  </from>
                  <to>
                    <xdr:col>1</xdr:col>
                    <xdr:colOff>7620</xdr:colOff>
                    <xdr:row>1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showGridLines="0" showRowColHeaders="0" zoomScale="110" zoomScaleNormal="110" workbookViewId="0">
      <pane xSplit="2" ySplit="2" topLeftCell="Q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2"/>
  <cols>
    <col min="1" max="1" width="10.77734375" style="56" customWidth="1"/>
    <col min="2" max="2" width="48.6640625" style="57" customWidth="1"/>
    <col min="3" max="25" width="10.77734375" customWidth="1"/>
  </cols>
  <sheetData>
    <row r="1" spans="1:25" ht="14.4">
      <c r="A1" s="49" t="str">
        <f>IF('0'!A1=1,"до змісту","to title")</f>
        <v>до змісту</v>
      </c>
      <c r="B1" s="50"/>
    </row>
    <row r="2" spans="1:25" ht="15.75" customHeight="1">
      <c r="A2" s="51"/>
      <c r="B2" s="51"/>
      <c r="C2" s="42">
        <v>37065</v>
      </c>
      <c r="D2" s="42">
        <v>37431</v>
      </c>
      <c r="E2" s="42">
        <v>37797</v>
      </c>
      <c r="F2" s="42">
        <v>38163</v>
      </c>
      <c r="G2" s="42">
        <v>38529</v>
      </c>
      <c r="H2" s="42">
        <v>38895</v>
      </c>
      <c r="I2" s="42">
        <v>39261</v>
      </c>
      <c r="J2" s="42">
        <v>39627</v>
      </c>
      <c r="K2" s="42">
        <v>39993</v>
      </c>
      <c r="L2" s="42">
        <v>40359</v>
      </c>
      <c r="M2" s="42">
        <v>40725</v>
      </c>
      <c r="N2" s="42">
        <v>41091</v>
      </c>
      <c r="O2" s="42">
        <v>41457</v>
      </c>
      <c r="P2" s="42">
        <v>41823</v>
      </c>
      <c r="Q2" s="42">
        <v>42189</v>
      </c>
      <c r="R2" s="42">
        <v>42555</v>
      </c>
      <c r="S2" s="42">
        <v>42920</v>
      </c>
      <c r="T2" s="42">
        <v>43285</v>
      </c>
      <c r="U2" s="42">
        <v>43650</v>
      </c>
      <c r="V2" s="42">
        <v>44016</v>
      </c>
      <c r="W2" s="42">
        <v>44381</v>
      </c>
      <c r="X2" s="42">
        <v>44746</v>
      </c>
      <c r="Y2" s="42">
        <v>45111</v>
      </c>
    </row>
    <row r="3" spans="1:25" ht="32.25" customHeight="1">
      <c r="A3" s="149" t="str">
        <f>IF('0'!A1=1,"Індекс споживчих цін (грудень до грудня попереднього року, %)","Consumer price indices (December to December of the previous year, %)")</f>
        <v>Індекс споживчих цін (грудень до грудня попереднього року, %)</v>
      </c>
      <c r="B3" s="150"/>
      <c r="C3" s="59">
        <v>6.0999999999999943</v>
      </c>
      <c r="D3" s="59">
        <v>-0.59999999999999432</v>
      </c>
      <c r="E3" s="59">
        <v>8.2000000000000028</v>
      </c>
      <c r="F3" s="59">
        <v>12.299999999999997</v>
      </c>
      <c r="G3" s="59">
        <v>10.299999999999997</v>
      </c>
      <c r="H3" s="59">
        <v>11.599999999999994</v>
      </c>
      <c r="I3" s="59">
        <v>16.599999999999994</v>
      </c>
      <c r="J3" s="59">
        <v>22.299999999999997</v>
      </c>
      <c r="K3" s="59">
        <v>12.299999999999997</v>
      </c>
      <c r="L3" s="59">
        <v>9.0999999999999943</v>
      </c>
      <c r="M3" s="59">
        <v>4.5999999999999943</v>
      </c>
      <c r="N3" s="59">
        <v>-0.20000000000000284</v>
      </c>
      <c r="O3" s="59">
        <v>0.5</v>
      </c>
      <c r="P3" s="59">
        <v>24.900000000000006</v>
      </c>
      <c r="Q3" s="60">
        <v>43.300000000000011</v>
      </c>
      <c r="R3" s="60">
        <v>12.4</v>
      </c>
      <c r="S3" s="60">
        <v>13.7</v>
      </c>
      <c r="T3" s="60">
        <v>9.8000000000000007</v>
      </c>
      <c r="U3" s="60">
        <v>4.0999999999999996</v>
      </c>
      <c r="V3" s="60">
        <v>5</v>
      </c>
      <c r="W3" s="60">
        <v>10</v>
      </c>
      <c r="X3" s="60">
        <v>26.599999999999994</v>
      </c>
      <c r="Y3" s="123">
        <v>5.0999999999999996</v>
      </c>
    </row>
    <row r="4" spans="1:25" ht="31.5" customHeight="1">
      <c r="A4" s="147" t="str">
        <f>IF('0'!A1=1,"ТОВАРНІ ГРУПИ*","PRODUCTS GROUPS*")</f>
        <v>ТОВАРНІ ГРУПИ*</v>
      </c>
      <c r="B4" s="5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61">
        <v>8</v>
      </c>
      <c r="D4" s="61">
        <v>-2.4000000000000057</v>
      </c>
      <c r="E4" s="61">
        <v>11.099999999999994</v>
      </c>
      <c r="F4" s="61">
        <v>15.200000000000003</v>
      </c>
      <c r="G4" s="61">
        <v>10.200000000000003</v>
      </c>
      <c r="H4" s="61">
        <v>3.2000000000000028</v>
      </c>
      <c r="I4" s="61">
        <v>23.700000000000003</v>
      </c>
      <c r="J4" s="61">
        <v>24.5</v>
      </c>
      <c r="K4" s="61">
        <v>10.900000000000006</v>
      </c>
      <c r="L4" s="61">
        <v>10.599999999999994</v>
      </c>
      <c r="M4" s="61">
        <v>1.7000000000000028</v>
      </c>
      <c r="N4" s="61">
        <v>-2.2999999999999972</v>
      </c>
      <c r="O4" s="61">
        <v>-0.70000000000000284</v>
      </c>
      <c r="P4" s="61">
        <v>24.799999999999997</v>
      </c>
      <c r="Q4" s="62">
        <v>41.5</v>
      </c>
      <c r="R4" s="62">
        <v>3.3</v>
      </c>
      <c r="S4" s="62">
        <v>17.7</v>
      </c>
      <c r="T4" s="62">
        <v>7.8</v>
      </c>
      <c r="U4" s="62">
        <v>4.8</v>
      </c>
      <c r="V4" s="62">
        <v>4.9000000000000004</v>
      </c>
      <c r="W4" s="62">
        <v>12.7</v>
      </c>
      <c r="X4" s="62">
        <v>34.400000000000006</v>
      </c>
      <c r="Y4" s="124">
        <v>4</v>
      </c>
    </row>
    <row r="5" spans="1:25" ht="15.6">
      <c r="A5" s="147"/>
      <c r="B5" s="52" t="str">
        <f>IF('0'!A1=1,"Алкогольні напої, тютюнові вироби","Alcoholic beverages, tobacco")</f>
        <v>Алкогольні напої, тютюнові вироби</v>
      </c>
      <c r="C5" s="61">
        <v>2</v>
      </c>
      <c r="D5" s="61">
        <v>0.70000000000000284</v>
      </c>
      <c r="E5" s="61">
        <v>4.2999999999999972</v>
      </c>
      <c r="F5" s="61">
        <v>4.5999999999999943</v>
      </c>
      <c r="G5" s="61">
        <v>7.7000000000000028</v>
      </c>
      <c r="H5" s="61">
        <v>5.5</v>
      </c>
      <c r="I5" s="61">
        <v>9.5</v>
      </c>
      <c r="J5" s="61">
        <v>22.700000000000003</v>
      </c>
      <c r="K5" s="61">
        <v>38.400000000000006</v>
      </c>
      <c r="L5" s="61">
        <v>22.099999999999994</v>
      </c>
      <c r="M5" s="61">
        <v>8.7999999999999972</v>
      </c>
      <c r="N5" s="61">
        <v>7</v>
      </c>
      <c r="O5" s="61">
        <v>10.099999999999994</v>
      </c>
      <c r="P5" s="61">
        <v>25.900000000000006</v>
      </c>
      <c r="Q5" s="62">
        <v>22.700000000000003</v>
      </c>
      <c r="R5" s="62">
        <v>22.5</v>
      </c>
      <c r="S5" s="62">
        <v>20.7</v>
      </c>
      <c r="T5" s="62">
        <v>17.899999999999999</v>
      </c>
      <c r="U5" s="62">
        <v>13</v>
      </c>
      <c r="V5" s="62">
        <v>9.1999999999999993</v>
      </c>
      <c r="W5" s="62">
        <v>9.4</v>
      </c>
      <c r="X5" s="62">
        <v>22.700000000000003</v>
      </c>
      <c r="Y5" s="124">
        <v>9.6</v>
      </c>
    </row>
    <row r="6" spans="1:25" ht="15.6">
      <c r="A6" s="147"/>
      <c r="B6" s="52" t="str">
        <f>IF('0'!A1=1,"Одяг і взуття","Clothing and footwear")</f>
        <v>Одяг і взуття</v>
      </c>
      <c r="C6" s="61">
        <v>1.7999999999999972</v>
      </c>
      <c r="D6" s="61">
        <v>0.70000000000000284</v>
      </c>
      <c r="E6" s="61">
        <v>0.70000000000000284</v>
      </c>
      <c r="F6" s="61">
        <v>1.4000000000000057</v>
      </c>
      <c r="G6" s="61">
        <v>2.2000000000000028</v>
      </c>
      <c r="H6" s="61">
        <v>2.5</v>
      </c>
      <c r="I6" s="61">
        <v>1.9000000000000057</v>
      </c>
      <c r="J6" s="61">
        <v>4.5999999999999943</v>
      </c>
      <c r="K6" s="61">
        <v>7.5999999999999943</v>
      </c>
      <c r="L6" s="61">
        <v>2.2000000000000028</v>
      </c>
      <c r="M6" s="61">
        <v>1</v>
      </c>
      <c r="N6" s="61">
        <v>-2.2999999999999972</v>
      </c>
      <c r="O6" s="61">
        <v>-3.5</v>
      </c>
      <c r="P6" s="61">
        <v>14.5</v>
      </c>
      <c r="Q6" s="62">
        <v>35</v>
      </c>
      <c r="R6" s="62">
        <v>5.5</v>
      </c>
      <c r="S6" s="62">
        <v>0.9</v>
      </c>
      <c r="T6" s="62">
        <v>2</v>
      </c>
      <c r="U6" s="62">
        <v>-2.2999999999999998</v>
      </c>
      <c r="V6" s="62">
        <v>-7.3</v>
      </c>
      <c r="W6" s="62">
        <v>-3.5</v>
      </c>
      <c r="X6" s="62">
        <v>2.4000000000000057</v>
      </c>
      <c r="Y6" s="124">
        <v>-6.3</v>
      </c>
    </row>
    <row r="7" spans="1:25" ht="31.2">
      <c r="A7" s="147"/>
      <c r="B7" s="5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61">
        <v>4.5</v>
      </c>
      <c r="D7" s="61">
        <v>1.7000000000000028</v>
      </c>
      <c r="E7" s="61">
        <v>6.4000000000000057</v>
      </c>
      <c r="F7" s="61">
        <v>7.2000000000000028</v>
      </c>
      <c r="G7" s="61">
        <v>14.599999999999994</v>
      </c>
      <c r="H7" s="61">
        <v>66.5</v>
      </c>
      <c r="I7" s="61">
        <v>12.299999999999997</v>
      </c>
      <c r="J7" s="61">
        <v>28.199999999999989</v>
      </c>
      <c r="K7" s="61">
        <v>8.2000000000000028</v>
      </c>
      <c r="L7" s="61">
        <v>13.799999999999997</v>
      </c>
      <c r="M7" s="61">
        <v>11</v>
      </c>
      <c r="N7" s="61">
        <v>0.70000000000000284</v>
      </c>
      <c r="O7" s="61">
        <v>0.29999999999999716</v>
      </c>
      <c r="P7" s="61">
        <v>34.300000000000011</v>
      </c>
      <c r="Q7" s="62">
        <v>103</v>
      </c>
      <c r="R7" s="62">
        <v>47.2</v>
      </c>
      <c r="S7" s="62">
        <v>10.6</v>
      </c>
      <c r="T7" s="62">
        <v>10.6</v>
      </c>
      <c r="U7" s="62">
        <v>-1.9</v>
      </c>
      <c r="V7" s="62">
        <v>13.6</v>
      </c>
      <c r="W7" s="62">
        <v>9.8000000000000007</v>
      </c>
      <c r="X7" s="62">
        <v>6</v>
      </c>
      <c r="Y7" s="124">
        <v>12.8</v>
      </c>
    </row>
    <row r="8" spans="1:25" ht="45" customHeight="1">
      <c r="A8" s="147"/>
      <c r="B8" s="5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61">
        <v>1.2000000000000028</v>
      </c>
      <c r="D8" s="61">
        <v>0.70000000000000284</v>
      </c>
      <c r="E8" s="61">
        <v>2.2000000000000028</v>
      </c>
      <c r="F8" s="61">
        <v>5.2999999999999972</v>
      </c>
      <c r="G8" s="61">
        <v>2.0999999999999943</v>
      </c>
      <c r="H8" s="61">
        <v>2.5</v>
      </c>
      <c r="I8" s="61">
        <v>2.9000000000000057</v>
      </c>
      <c r="J8" s="61">
        <v>16.200000000000003</v>
      </c>
      <c r="K8" s="61">
        <v>14.299999999999997</v>
      </c>
      <c r="L8" s="61">
        <v>1.2000000000000028</v>
      </c>
      <c r="M8" s="61">
        <v>3.5</v>
      </c>
      <c r="N8" s="61">
        <v>0.5</v>
      </c>
      <c r="O8" s="61">
        <v>-0.70000000000000284</v>
      </c>
      <c r="P8" s="61">
        <v>27.900000000000006</v>
      </c>
      <c r="Q8" s="62">
        <v>36</v>
      </c>
      <c r="R8" s="62">
        <v>4.2</v>
      </c>
      <c r="S8" s="62">
        <v>3.1</v>
      </c>
      <c r="T8" s="62">
        <v>6.8</v>
      </c>
      <c r="U8" s="62">
        <v>-0.2</v>
      </c>
      <c r="V8" s="62">
        <v>0.5</v>
      </c>
      <c r="W8" s="62">
        <v>4.2</v>
      </c>
      <c r="X8" s="62">
        <v>26.5</v>
      </c>
      <c r="Y8" s="124">
        <v>0.7</v>
      </c>
    </row>
    <row r="9" spans="1:25" ht="15.6">
      <c r="A9" s="147"/>
      <c r="B9" s="52" t="str">
        <f>IF('0'!A1=1,"Охорона здоров’я","Health")</f>
        <v>Охорона здоров’я</v>
      </c>
      <c r="C9" s="61">
        <v>5.5999999999999943</v>
      </c>
      <c r="D9" s="61">
        <v>3.5999999999999943</v>
      </c>
      <c r="E9" s="61">
        <v>3.5</v>
      </c>
      <c r="F9" s="61">
        <v>7.0999999999999943</v>
      </c>
      <c r="G9" s="61">
        <v>9.2000000000000028</v>
      </c>
      <c r="H9" s="61">
        <v>7.2999999999999972</v>
      </c>
      <c r="I9" s="61">
        <v>13.200000000000003</v>
      </c>
      <c r="J9" s="61">
        <v>21.900000000000006</v>
      </c>
      <c r="K9" s="61">
        <v>26.299999999999997</v>
      </c>
      <c r="L9" s="61">
        <v>5.7999999999999972</v>
      </c>
      <c r="M9" s="61">
        <v>6.4000000000000057</v>
      </c>
      <c r="N9" s="61">
        <v>2</v>
      </c>
      <c r="O9" s="61">
        <v>3</v>
      </c>
      <c r="P9" s="61">
        <v>30</v>
      </c>
      <c r="Q9" s="62">
        <v>29.099999999999994</v>
      </c>
      <c r="R9" s="62">
        <v>7.8</v>
      </c>
      <c r="S9" s="62">
        <v>7.5</v>
      </c>
      <c r="T9" s="62">
        <v>8.9</v>
      </c>
      <c r="U9" s="62">
        <v>3.8</v>
      </c>
      <c r="V9" s="62">
        <v>7.7</v>
      </c>
      <c r="W9" s="62">
        <v>6.1</v>
      </c>
      <c r="X9" s="62">
        <v>19.900000000000006</v>
      </c>
      <c r="Y9" s="124">
        <v>8.6999999999999993</v>
      </c>
    </row>
    <row r="10" spans="1:25" ht="15.6">
      <c r="A10" s="147"/>
      <c r="B10" s="52" t="str">
        <f>IF('0'!A1=1,"Транспорт","Transport")</f>
        <v>Транспорт</v>
      </c>
      <c r="C10" s="61">
        <v>-1.5</v>
      </c>
      <c r="D10" s="61">
        <v>6.5999999999999943</v>
      </c>
      <c r="E10" s="61">
        <v>2.4000000000000057</v>
      </c>
      <c r="F10" s="61">
        <v>17.700000000000003</v>
      </c>
      <c r="G10" s="61">
        <v>19.700000000000003</v>
      </c>
      <c r="H10" s="61">
        <v>10.400000000000006</v>
      </c>
      <c r="I10" s="61">
        <v>14.099999999999994</v>
      </c>
      <c r="J10" s="61">
        <v>22.5</v>
      </c>
      <c r="K10" s="61">
        <v>19.200000000000003</v>
      </c>
      <c r="L10" s="61">
        <v>6.5999999999999943</v>
      </c>
      <c r="M10" s="61">
        <v>20.900000000000006</v>
      </c>
      <c r="N10" s="61">
        <v>4.0999999999999943</v>
      </c>
      <c r="O10" s="61">
        <v>1.2999999999999972</v>
      </c>
      <c r="P10" s="61">
        <v>41.599999999999994</v>
      </c>
      <c r="Q10" s="62">
        <v>20.400000000000006</v>
      </c>
      <c r="R10" s="62">
        <v>11.4</v>
      </c>
      <c r="S10" s="62">
        <v>16.7</v>
      </c>
      <c r="T10" s="62">
        <v>12.9</v>
      </c>
      <c r="U10" s="62">
        <v>-2.4</v>
      </c>
      <c r="V10" s="62">
        <v>2.7</v>
      </c>
      <c r="W10" s="62">
        <v>11.1</v>
      </c>
      <c r="X10" s="62">
        <v>42.900000000000006</v>
      </c>
      <c r="Y10" s="124">
        <v>3.2</v>
      </c>
    </row>
    <row r="11" spans="1:25" ht="15.6">
      <c r="A11" s="147"/>
      <c r="B11" s="52" t="str">
        <f>IF('0'!A1=1,"Зв’язок","Communication")</f>
        <v>Зв’язок</v>
      </c>
      <c r="C11" s="61">
        <v>-0.79999999999999716</v>
      </c>
      <c r="D11" s="61">
        <v>9.7999999999999972</v>
      </c>
      <c r="E11" s="61">
        <v>0</v>
      </c>
      <c r="F11" s="61">
        <v>9.9999999999994316E-2</v>
      </c>
      <c r="G11" s="61">
        <v>1.7000000000000028</v>
      </c>
      <c r="H11" s="61">
        <v>21</v>
      </c>
      <c r="I11" s="61">
        <v>-2.7999999999999972</v>
      </c>
      <c r="J11" s="61">
        <v>5</v>
      </c>
      <c r="K11" s="61">
        <v>4.2999999999999972</v>
      </c>
      <c r="L11" s="61">
        <v>-8.9000000000000057</v>
      </c>
      <c r="M11" s="61">
        <v>3.5</v>
      </c>
      <c r="N11" s="61">
        <v>1.4000000000000057</v>
      </c>
      <c r="O11" s="61">
        <v>0.70000000000000284</v>
      </c>
      <c r="P11" s="61">
        <v>2.4000000000000057</v>
      </c>
      <c r="Q11" s="62">
        <v>7</v>
      </c>
      <c r="R11" s="62">
        <v>4</v>
      </c>
      <c r="S11" s="62">
        <v>9.1</v>
      </c>
      <c r="T11" s="62">
        <v>15.1</v>
      </c>
      <c r="U11" s="62">
        <v>11.8</v>
      </c>
      <c r="V11" s="62">
        <v>4.0999999999999996</v>
      </c>
      <c r="W11" s="62">
        <v>7.4</v>
      </c>
      <c r="X11" s="62">
        <v>13.400000000000006</v>
      </c>
      <c r="Y11" s="124">
        <v>1.5</v>
      </c>
    </row>
    <row r="12" spans="1:25" ht="15.6">
      <c r="A12" s="147"/>
      <c r="B12" s="52" t="str">
        <f>IF('0'!A1=1,"Відпочинок і культура","Recreation and culture")</f>
        <v>Відпочинок і культура</v>
      </c>
      <c r="C12" s="61">
        <v>4.2999999999999972</v>
      </c>
      <c r="D12" s="61">
        <v>2</v>
      </c>
      <c r="E12" s="61">
        <v>1.9000000000000057</v>
      </c>
      <c r="F12" s="61">
        <v>4.5</v>
      </c>
      <c r="G12" s="61">
        <v>2.7000000000000028</v>
      </c>
      <c r="H12" s="61">
        <v>3.7000000000000028</v>
      </c>
      <c r="I12" s="61">
        <v>4.7000000000000028</v>
      </c>
      <c r="J12" s="61">
        <v>17.099999999999994</v>
      </c>
      <c r="K12" s="61">
        <v>11.799999999999997</v>
      </c>
      <c r="L12" s="61">
        <v>2.5</v>
      </c>
      <c r="M12" s="61">
        <v>3.2000000000000028</v>
      </c>
      <c r="N12" s="61">
        <v>0.20000000000000284</v>
      </c>
      <c r="O12" s="61">
        <v>-0.29999999999999716</v>
      </c>
      <c r="P12" s="61">
        <v>24.799999999999997</v>
      </c>
      <c r="Q12" s="62">
        <v>37.900000000000006</v>
      </c>
      <c r="R12" s="62">
        <v>4.5</v>
      </c>
      <c r="S12" s="62">
        <v>4.5</v>
      </c>
      <c r="T12" s="62">
        <v>4.4000000000000004</v>
      </c>
      <c r="U12" s="62">
        <v>-0.1</v>
      </c>
      <c r="V12" s="62">
        <v>0.1</v>
      </c>
      <c r="W12" s="62">
        <v>5</v>
      </c>
      <c r="X12" s="62">
        <v>15.900000000000006</v>
      </c>
      <c r="Y12" s="124">
        <v>-1.1000000000000001</v>
      </c>
    </row>
    <row r="13" spans="1:25" ht="15.6">
      <c r="A13" s="147"/>
      <c r="B13" s="52" t="str">
        <f>IF('0'!A1=1,"Освіта","Education")</f>
        <v>Освіта</v>
      </c>
      <c r="C13" s="61">
        <v>10.700000000000003</v>
      </c>
      <c r="D13" s="61">
        <v>6</v>
      </c>
      <c r="E13" s="61">
        <v>7.0999999999999943</v>
      </c>
      <c r="F13" s="61">
        <v>9.4000000000000057</v>
      </c>
      <c r="G13" s="61">
        <v>18</v>
      </c>
      <c r="H13" s="61">
        <v>15.799999999999997</v>
      </c>
      <c r="I13" s="61">
        <v>15.799999999999997</v>
      </c>
      <c r="J13" s="61">
        <v>29.199999999999989</v>
      </c>
      <c r="K13" s="61">
        <v>15.099999999999994</v>
      </c>
      <c r="L13" s="61">
        <v>10.299999999999997</v>
      </c>
      <c r="M13" s="61">
        <v>5.7000000000000028</v>
      </c>
      <c r="N13" s="61">
        <v>4.4000000000000057</v>
      </c>
      <c r="O13" s="61">
        <v>2.2000000000000028</v>
      </c>
      <c r="P13" s="61">
        <v>4.7000000000000028</v>
      </c>
      <c r="Q13" s="62">
        <v>24.200000000000003</v>
      </c>
      <c r="R13" s="62">
        <v>13.7</v>
      </c>
      <c r="S13" s="62">
        <v>14.9</v>
      </c>
      <c r="T13" s="62">
        <v>13.4</v>
      </c>
      <c r="U13" s="62">
        <v>13.5</v>
      </c>
      <c r="V13" s="62">
        <v>13.9</v>
      </c>
      <c r="W13" s="62">
        <v>17</v>
      </c>
      <c r="X13" s="62">
        <v>9.7999999999999972</v>
      </c>
      <c r="Y13" s="124">
        <v>12.8</v>
      </c>
    </row>
    <row r="14" spans="1:25" ht="15.6">
      <c r="A14" s="147"/>
      <c r="B14" s="52" t="str">
        <f>IF('0'!A1=1,"Ресторани та готелі","Restaurants and hotels")</f>
        <v>Ресторани та готелі</v>
      </c>
      <c r="C14" s="61">
        <v>12.5</v>
      </c>
      <c r="D14" s="61">
        <v>8.4000000000000057</v>
      </c>
      <c r="E14" s="61">
        <v>8</v>
      </c>
      <c r="F14" s="61">
        <v>13</v>
      </c>
      <c r="G14" s="61">
        <v>18.599999999999994</v>
      </c>
      <c r="H14" s="61">
        <v>14.799999999999997</v>
      </c>
      <c r="I14" s="61">
        <v>16.5</v>
      </c>
      <c r="J14" s="61">
        <v>27.900000000000006</v>
      </c>
      <c r="K14" s="61">
        <v>10</v>
      </c>
      <c r="L14" s="61">
        <v>7.4000000000000057</v>
      </c>
      <c r="M14" s="61">
        <v>7.2000000000000028</v>
      </c>
      <c r="N14" s="61">
        <v>2.7999999999999972</v>
      </c>
      <c r="O14" s="61">
        <v>1.4000000000000057</v>
      </c>
      <c r="P14" s="61">
        <v>14</v>
      </c>
      <c r="Q14" s="62">
        <v>23.299999999999997</v>
      </c>
      <c r="R14" s="62">
        <v>11</v>
      </c>
      <c r="S14" s="62">
        <v>17.3</v>
      </c>
      <c r="T14" s="62">
        <v>13</v>
      </c>
      <c r="U14" s="62">
        <v>8.8000000000000007</v>
      </c>
      <c r="V14" s="62">
        <v>3.7</v>
      </c>
      <c r="W14" s="62">
        <v>9</v>
      </c>
      <c r="X14" s="62">
        <v>22.5</v>
      </c>
      <c r="Y14" s="124">
        <v>13</v>
      </c>
    </row>
    <row r="15" spans="1:25" ht="14.4" thickBot="1">
      <c r="A15" s="148"/>
      <c r="B15" s="53" t="str">
        <f>IF('0'!A1=1,"Різні товари та послуги","Miscellaneous goods and services")</f>
        <v>Різні товари та послуги</v>
      </c>
      <c r="C15" s="63">
        <v>1.5</v>
      </c>
      <c r="D15" s="63">
        <v>2.4000000000000057</v>
      </c>
      <c r="E15" s="63">
        <v>2.2999999999999972</v>
      </c>
      <c r="F15" s="63">
        <v>6.9000000000000057</v>
      </c>
      <c r="G15" s="63">
        <v>6.2999999999999972</v>
      </c>
      <c r="H15" s="63">
        <v>6.7999999999999972</v>
      </c>
      <c r="I15" s="63">
        <v>11.400000000000006</v>
      </c>
      <c r="J15" s="63">
        <v>30.400000000000006</v>
      </c>
      <c r="K15" s="63">
        <v>19.099999999999994</v>
      </c>
      <c r="L15" s="63">
        <v>8.7000000000000028</v>
      </c>
      <c r="M15" s="63">
        <v>5.4000000000000057</v>
      </c>
      <c r="N15" s="63">
        <v>2.2000000000000028</v>
      </c>
      <c r="O15" s="63">
        <v>2.5</v>
      </c>
      <c r="P15" s="63">
        <v>24.5</v>
      </c>
      <c r="Q15" s="63">
        <v>31.400000000000006</v>
      </c>
      <c r="R15" s="63">
        <v>5.8</v>
      </c>
      <c r="S15" s="63">
        <v>7.6</v>
      </c>
      <c r="T15" s="63">
        <v>11</v>
      </c>
      <c r="U15" s="63">
        <v>7.8</v>
      </c>
      <c r="V15" s="63">
        <v>6</v>
      </c>
      <c r="W15" s="63">
        <v>9.1</v>
      </c>
      <c r="X15" s="63">
        <v>17.799999999999997</v>
      </c>
      <c r="Y15" s="125">
        <v>11.3</v>
      </c>
    </row>
    <row r="16" spans="1:25" ht="15" customHeight="1" thickTop="1">
      <c r="A16" s="151" t="str">
        <f>IF('0'!A1=1,"РЕГІОНИ*","OBLAST*")</f>
        <v>РЕГІОНИ*</v>
      </c>
      <c r="B16" s="54" t="str">
        <f>IF('0'!A1=1,"АР Крим","AR Crimea")</f>
        <v>АР Крим</v>
      </c>
      <c r="C16" s="64">
        <v>7.2000000000000028</v>
      </c>
      <c r="D16" s="64">
        <v>-1.7000000000000028</v>
      </c>
      <c r="E16" s="64">
        <v>8.5</v>
      </c>
      <c r="F16" s="64">
        <v>10.700000000000003</v>
      </c>
      <c r="G16" s="64">
        <v>11.5</v>
      </c>
      <c r="H16" s="64">
        <v>11.5</v>
      </c>
      <c r="I16" s="64">
        <v>15.599999999999994</v>
      </c>
      <c r="J16" s="64">
        <v>23.299999999999997</v>
      </c>
      <c r="K16" s="64">
        <v>14.799999999999997</v>
      </c>
      <c r="L16" s="64">
        <v>9.5999999999999943</v>
      </c>
      <c r="M16" s="64">
        <v>6</v>
      </c>
      <c r="N16" s="64">
        <v>-1.5999999999999943</v>
      </c>
      <c r="O16" s="64">
        <v>-0.5</v>
      </c>
      <c r="P16" s="64" t="s">
        <v>0</v>
      </c>
      <c r="Q16" s="64" t="s">
        <v>0</v>
      </c>
      <c r="R16" s="64" t="s">
        <v>0</v>
      </c>
      <c r="S16" s="64" t="s">
        <v>0</v>
      </c>
      <c r="T16" s="64" t="s">
        <v>0</v>
      </c>
      <c r="U16" s="64" t="s">
        <v>0</v>
      </c>
      <c r="V16" s="64" t="s">
        <v>0</v>
      </c>
      <c r="W16" s="64" t="s">
        <v>0</v>
      </c>
      <c r="X16" s="64" t="s">
        <v>0</v>
      </c>
      <c r="Y16" s="64" t="s">
        <v>0</v>
      </c>
    </row>
    <row r="17" spans="1:25" ht="15" customHeight="1">
      <c r="A17" s="151"/>
      <c r="B17" s="54" t="str">
        <f>IF('0'!A1=1,"Вінницька","Vinnytsya")</f>
        <v>Вінницька</v>
      </c>
      <c r="C17" s="64">
        <v>7</v>
      </c>
      <c r="D17" s="64">
        <v>-1.0999999999999943</v>
      </c>
      <c r="E17" s="64">
        <v>9.5999999999999943</v>
      </c>
      <c r="F17" s="64">
        <v>11.599999999999994</v>
      </c>
      <c r="G17" s="64">
        <v>10.700000000000003</v>
      </c>
      <c r="H17" s="64">
        <v>11.5</v>
      </c>
      <c r="I17" s="64">
        <v>17.799999999999997</v>
      </c>
      <c r="J17" s="64">
        <v>19.099999999999994</v>
      </c>
      <c r="K17" s="64">
        <v>11.200000000000003</v>
      </c>
      <c r="L17" s="64">
        <v>7</v>
      </c>
      <c r="M17" s="64">
        <v>2.7999999999999972</v>
      </c>
      <c r="N17" s="64">
        <v>-1</v>
      </c>
      <c r="O17" s="64">
        <v>-0.29999999999999716</v>
      </c>
      <c r="P17" s="64">
        <v>23.299999999999997</v>
      </c>
      <c r="Q17" s="64">
        <v>38.800000000000011</v>
      </c>
      <c r="R17" s="64">
        <v>10</v>
      </c>
      <c r="S17" s="64">
        <v>13</v>
      </c>
      <c r="T17" s="64">
        <v>9</v>
      </c>
      <c r="U17" s="64">
        <v>2.4000000000000057</v>
      </c>
      <c r="V17" s="64">
        <v>2.9000000000000057</v>
      </c>
      <c r="W17" s="64">
        <v>8.7000000000000028</v>
      </c>
      <c r="X17" s="64">
        <v>24.299999999999997</v>
      </c>
      <c r="Y17" s="160">
        <v>4.4000000000000057</v>
      </c>
    </row>
    <row r="18" spans="1:25" ht="15" customHeight="1">
      <c r="A18" s="151"/>
      <c r="B18" s="54" t="str">
        <f>IF('0'!A1=1,"Волинська","Volyn")</f>
        <v>Волинська</v>
      </c>
      <c r="C18" s="64">
        <v>6.2000000000000028</v>
      </c>
      <c r="D18" s="64">
        <v>-1.2000000000000028</v>
      </c>
      <c r="E18" s="64">
        <v>5.7999999999999972</v>
      </c>
      <c r="F18" s="64">
        <v>12.900000000000006</v>
      </c>
      <c r="G18" s="64">
        <v>9.0999999999999943</v>
      </c>
      <c r="H18" s="64">
        <v>9.5999999999999943</v>
      </c>
      <c r="I18" s="64">
        <v>15.099999999999994</v>
      </c>
      <c r="J18" s="64">
        <v>21.299999999999997</v>
      </c>
      <c r="K18" s="64">
        <v>10</v>
      </c>
      <c r="L18" s="64">
        <v>8.0999999999999943</v>
      </c>
      <c r="M18" s="64">
        <v>3.2000000000000028</v>
      </c>
      <c r="N18" s="64">
        <v>-1</v>
      </c>
      <c r="O18" s="64">
        <v>-0.29999999999999716</v>
      </c>
      <c r="P18" s="64">
        <v>25.900000000000006</v>
      </c>
      <c r="Q18" s="64">
        <v>43.300000000000011</v>
      </c>
      <c r="R18" s="64">
        <v>11.799999999999997</v>
      </c>
      <c r="S18" s="64">
        <v>14.599999999999994</v>
      </c>
      <c r="T18" s="64">
        <v>9.9000000000000057</v>
      </c>
      <c r="U18" s="64">
        <v>4.9000000000000057</v>
      </c>
      <c r="V18" s="64">
        <v>5.7999999999999972</v>
      </c>
      <c r="W18" s="64">
        <v>9.9000000000000057</v>
      </c>
      <c r="X18" s="64">
        <v>27</v>
      </c>
      <c r="Y18" s="160">
        <v>5.7999999999999972</v>
      </c>
    </row>
    <row r="19" spans="1:25" ht="15" customHeight="1">
      <c r="A19" s="151"/>
      <c r="B19" s="54" t="str">
        <f>IF('0'!A1=1,"Дніпропетровська","Dnipropetrovsk")</f>
        <v>Дніпропетровська</v>
      </c>
      <c r="C19" s="64">
        <v>6.9000000000000057</v>
      </c>
      <c r="D19" s="64">
        <v>2</v>
      </c>
      <c r="E19" s="64">
        <v>9.2999999999999972</v>
      </c>
      <c r="F19" s="64">
        <v>12.700000000000003</v>
      </c>
      <c r="G19" s="64">
        <v>8</v>
      </c>
      <c r="H19" s="64">
        <v>19.799999999999997</v>
      </c>
      <c r="I19" s="64">
        <v>14.400000000000006</v>
      </c>
      <c r="J19" s="64">
        <v>24.400000000000006</v>
      </c>
      <c r="K19" s="64">
        <v>13</v>
      </c>
      <c r="L19" s="64">
        <v>9.2999999999999972</v>
      </c>
      <c r="M19" s="64">
        <v>4.2999999999999972</v>
      </c>
      <c r="N19" s="64">
        <v>-0.29999999999999716</v>
      </c>
      <c r="O19" s="64">
        <v>0.40000000000000568</v>
      </c>
      <c r="P19" s="64">
        <v>25.700000000000003</v>
      </c>
      <c r="Q19" s="64">
        <v>42.599999999999994</v>
      </c>
      <c r="R19" s="64">
        <v>12.700000000000003</v>
      </c>
      <c r="S19" s="64">
        <v>12.799999999999997</v>
      </c>
      <c r="T19" s="64">
        <v>9.2000000000000028</v>
      </c>
      <c r="U19" s="64">
        <v>3.7000000000000028</v>
      </c>
      <c r="V19" s="64">
        <v>4.5</v>
      </c>
      <c r="W19" s="64">
        <v>9.5999999999999943</v>
      </c>
      <c r="X19" s="64">
        <v>25.299999999999997</v>
      </c>
      <c r="Y19" s="160">
        <v>4.7000000000000028</v>
      </c>
    </row>
    <row r="20" spans="1:25" ht="15" customHeight="1">
      <c r="A20" s="151"/>
      <c r="B20" s="54" t="str">
        <f>IF('0'!A1=1,"Донецька","Donetsk")</f>
        <v>Донецька</v>
      </c>
      <c r="C20" s="64">
        <v>7.4000000000000057</v>
      </c>
      <c r="D20" s="64">
        <v>-0.5</v>
      </c>
      <c r="E20" s="64">
        <v>8.7999999999999972</v>
      </c>
      <c r="F20" s="64">
        <v>13.5</v>
      </c>
      <c r="G20" s="64">
        <v>11.900000000000006</v>
      </c>
      <c r="H20" s="64">
        <v>12.099999999999994</v>
      </c>
      <c r="I20" s="64">
        <v>13.900000000000006</v>
      </c>
      <c r="J20" s="64">
        <v>24</v>
      </c>
      <c r="K20" s="64">
        <v>13.099999999999994</v>
      </c>
      <c r="L20" s="64">
        <v>10.299999999999997</v>
      </c>
      <c r="M20" s="64">
        <v>5</v>
      </c>
      <c r="N20" s="64">
        <v>1.2999999999999972</v>
      </c>
      <c r="O20" s="64">
        <v>1.2999999999999972</v>
      </c>
      <c r="P20" s="64">
        <v>22.019999999999996</v>
      </c>
      <c r="Q20" s="64">
        <v>46.900000000000006</v>
      </c>
      <c r="R20" s="64">
        <v>11.599999999999994</v>
      </c>
      <c r="S20" s="64">
        <v>15.900000000000006</v>
      </c>
      <c r="T20" s="64">
        <v>12.299999999999997</v>
      </c>
      <c r="U20" s="64">
        <v>6</v>
      </c>
      <c r="V20" s="64">
        <v>5.2000000000000028</v>
      </c>
      <c r="W20" s="64">
        <v>11.200000000000003</v>
      </c>
      <c r="X20" s="64">
        <v>26.900000000000006</v>
      </c>
      <c r="Y20" s="160">
        <v>5.0999999999999943</v>
      </c>
    </row>
    <row r="21" spans="1:25" ht="15" customHeight="1">
      <c r="A21" s="151"/>
      <c r="B21" s="54" t="str">
        <f>IF('0'!A1=1,"Житомирська","Zhytomyr")</f>
        <v>Житомирська</v>
      </c>
      <c r="C21" s="64">
        <v>4.2999999999999972</v>
      </c>
      <c r="D21" s="64">
        <v>-1</v>
      </c>
      <c r="E21" s="64">
        <v>8.2000000000000028</v>
      </c>
      <c r="F21" s="64">
        <v>13.299999999999997</v>
      </c>
      <c r="G21" s="64">
        <v>10.799999999999997</v>
      </c>
      <c r="H21" s="64">
        <v>10.299999999999997</v>
      </c>
      <c r="I21" s="64">
        <v>13.900000000000006</v>
      </c>
      <c r="J21" s="64">
        <v>20.799999999999997</v>
      </c>
      <c r="K21" s="64">
        <v>11.900000000000006</v>
      </c>
      <c r="L21" s="64">
        <v>8.9000000000000057</v>
      </c>
      <c r="M21" s="64">
        <v>3.9000000000000057</v>
      </c>
      <c r="N21" s="64">
        <v>-1</v>
      </c>
      <c r="O21" s="64">
        <v>-0.59999999999999432</v>
      </c>
      <c r="P21" s="64">
        <v>25.200000000000003</v>
      </c>
      <c r="Q21" s="64">
        <v>43.699999999999989</v>
      </c>
      <c r="R21" s="64">
        <v>12.599999999999994</v>
      </c>
      <c r="S21" s="64">
        <v>13</v>
      </c>
      <c r="T21" s="64">
        <v>9.0999999999999943</v>
      </c>
      <c r="U21" s="64">
        <v>3.5999999999999943</v>
      </c>
      <c r="V21" s="64">
        <v>4.5999999999999943</v>
      </c>
      <c r="W21" s="64">
        <v>9</v>
      </c>
      <c r="X21" s="64">
        <v>25.400000000000006</v>
      </c>
      <c r="Y21" s="160">
        <v>5.2999999999999972</v>
      </c>
    </row>
    <row r="22" spans="1:25" ht="15" customHeight="1">
      <c r="A22" s="151"/>
      <c r="B22" s="54" t="str">
        <f>IF('0'!A1=1,"Закарпатська","Zakarpattya")</f>
        <v>Закарпатська</v>
      </c>
      <c r="C22" s="64">
        <v>3.5999999999999943</v>
      </c>
      <c r="D22" s="64">
        <v>0.90000000000000568</v>
      </c>
      <c r="E22" s="64">
        <v>6.7999999999999972</v>
      </c>
      <c r="F22" s="64">
        <v>7.7999999999999972</v>
      </c>
      <c r="G22" s="64">
        <v>11.599999999999994</v>
      </c>
      <c r="H22" s="64">
        <v>8.7000000000000028</v>
      </c>
      <c r="I22" s="64">
        <v>11.299999999999997</v>
      </c>
      <c r="J22" s="64">
        <v>15.400000000000006</v>
      </c>
      <c r="K22" s="64">
        <v>11.799999999999997</v>
      </c>
      <c r="L22" s="64">
        <v>8.5</v>
      </c>
      <c r="M22" s="64">
        <v>3</v>
      </c>
      <c r="N22" s="64">
        <v>-1.2000000000000028</v>
      </c>
      <c r="O22" s="64">
        <v>-0.29999999999999716</v>
      </c>
      <c r="P22" s="64">
        <v>25.700000000000003</v>
      </c>
      <c r="Q22" s="64">
        <v>44</v>
      </c>
      <c r="R22" s="64">
        <v>11.700000000000003</v>
      </c>
      <c r="S22" s="64">
        <v>13.900000000000006</v>
      </c>
      <c r="T22" s="64">
        <v>12.200000000000003</v>
      </c>
      <c r="U22" s="64">
        <v>4.2999999999999972</v>
      </c>
      <c r="V22" s="64">
        <v>5.7000000000000028</v>
      </c>
      <c r="W22" s="64">
        <v>10.099999999999994</v>
      </c>
      <c r="X22" s="64">
        <v>27.700000000000003</v>
      </c>
      <c r="Y22" s="160">
        <v>5.7999999999999972</v>
      </c>
    </row>
    <row r="23" spans="1:25" ht="15" customHeight="1">
      <c r="A23" s="151"/>
      <c r="B23" s="54" t="str">
        <f>IF('0'!A1=1,"Запорізька","Zaporizhzhya")</f>
        <v>Запорізька</v>
      </c>
      <c r="C23" s="64">
        <v>5.4000000000000057</v>
      </c>
      <c r="D23" s="64">
        <v>-1.2999999999999972</v>
      </c>
      <c r="E23" s="64">
        <v>9.9000000000000057</v>
      </c>
      <c r="F23" s="64">
        <v>12.5</v>
      </c>
      <c r="G23" s="64">
        <v>11.900000000000006</v>
      </c>
      <c r="H23" s="64">
        <v>10.299999999999997</v>
      </c>
      <c r="I23" s="64">
        <v>15.200000000000003</v>
      </c>
      <c r="J23" s="64">
        <v>23.599999999999994</v>
      </c>
      <c r="K23" s="64">
        <v>13</v>
      </c>
      <c r="L23" s="64">
        <v>9.7000000000000028</v>
      </c>
      <c r="M23" s="64">
        <v>4.5999999999999943</v>
      </c>
      <c r="N23" s="64">
        <v>-0.70000000000000284</v>
      </c>
      <c r="O23" s="64">
        <v>0.29999999999999716</v>
      </c>
      <c r="P23" s="64">
        <v>25.700000000000003</v>
      </c>
      <c r="Q23" s="64">
        <v>42.099999999999994</v>
      </c>
      <c r="R23" s="64">
        <v>12.299999999999997</v>
      </c>
      <c r="S23" s="64">
        <v>14.099999999999994</v>
      </c>
      <c r="T23" s="64">
        <v>9.2000000000000028</v>
      </c>
      <c r="U23" s="64">
        <v>3.2000000000000028</v>
      </c>
      <c r="V23" s="64">
        <v>4.2000000000000028</v>
      </c>
      <c r="W23" s="64">
        <v>8.7999999999999972</v>
      </c>
      <c r="X23" s="64">
        <v>24.099999999999994</v>
      </c>
      <c r="Y23" s="160">
        <v>5.9000000000000057</v>
      </c>
    </row>
    <row r="24" spans="1:25" ht="15" customHeight="1">
      <c r="A24" s="151"/>
      <c r="B24" s="54" t="str">
        <f>IF('0'!A1=1,"Івано-Франківська","Ivano-Frankivsk")</f>
        <v>Івано-Франківська</v>
      </c>
      <c r="C24" s="64">
        <v>7.7000000000000028</v>
      </c>
      <c r="D24" s="64">
        <v>-4.2000000000000028</v>
      </c>
      <c r="E24" s="64">
        <v>6</v>
      </c>
      <c r="F24" s="64">
        <v>9.5</v>
      </c>
      <c r="G24" s="64">
        <v>10.299999999999997</v>
      </c>
      <c r="H24" s="64">
        <v>6</v>
      </c>
      <c r="I24" s="64">
        <v>14</v>
      </c>
      <c r="J24" s="64">
        <v>21.799999999999997</v>
      </c>
      <c r="K24" s="64">
        <v>10.299999999999997</v>
      </c>
      <c r="L24" s="64">
        <v>8.2999999999999972</v>
      </c>
      <c r="M24" s="64">
        <v>2.9000000000000057</v>
      </c>
      <c r="N24" s="64">
        <v>-0.70000000000000284</v>
      </c>
      <c r="O24" s="64">
        <v>0</v>
      </c>
      <c r="P24" s="64">
        <v>25</v>
      </c>
      <c r="Q24" s="64">
        <v>43.400000000000006</v>
      </c>
      <c r="R24" s="64">
        <v>10.900000000000006</v>
      </c>
      <c r="S24" s="64">
        <v>13.700000000000003</v>
      </c>
      <c r="T24" s="64">
        <v>9.0999999999999943</v>
      </c>
      <c r="U24" s="64">
        <v>4.5</v>
      </c>
      <c r="V24" s="64">
        <v>5.5999999999999943</v>
      </c>
      <c r="W24" s="64">
        <v>10.200000000000003</v>
      </c>
      <c r="X24" s="64">
        <v>26.299999999999997</v>
      </c>
      <c r="Y24" s="160">
        <v>5.0999999999999943</v>
      </c>
    </row>
    <row r="25" spans="1:25" ht="15" customHeight="1">
      <c r="A25" s="151"/>
      <c r="B25" s="54" t="str">
        <f>IF('0'!A1=1,"Київська","Kyiv")</f>
        <v>Київська</v>
      </c>
      <c r="C25" s="64">
        <v>7.2999999999999972</v>
      </c>
      <c r="D25" s="64">
        <v>-1.2999999999999972</v>
      </c>
      <c r="E25" s="64">
        <v>8.2000000000000028</v>
      </c>
      <c r="F25" s="64">
        <v>12.900000000000006</v>
      </c>
      <c r="G25" s="64">
        <v>12.599999999999994</v>
      </c>
      <c r="H25" s="64">
        <v>11.700000000000003</v>
      </c>
      <c r="I25" s="64">
        <v>14.299999999999997</v>
      </c>
      <c r="J25" s="64">
        <v>25.599999999999994</v>
      </c>
      <c r="K25" s="64">
        <v>9.5</v>
      </c>
      <c r="L25" s="64">
        <v>7.9000000000000057</v>
      </c>
      <c r="M25" s="64">
        <v>3.9000000000000057</v>
      </c>
      <c r="N25" s="64">
        <v>-0.90000000000000568</v>
      </c>
      <c r="O25" s="64">
        <v>-9.9999999999994316E-2</v>
      </c>
      <c r="P25" s="64">
        <v>24.700000000000003</v>
      </c>
      <c r="Q25" s="64">
        <v>44.300000000000011</v>
      </c>
      <c r="R25" s="64">
        <v>12.200000000000003</v>
      </c>
      <c r="S25" s="64">
        <v>13.799999999999997</v>
      </c>
      <c r="T25" s="64">
        <v>10</v>
      </c>
      <c r="U25" s="64">
        <v>4.4000000000000057</v>
      </c>
      <c r="V25" s="64">
        <v>5.2000000000000028</v>
      </c>
      <c r="W25" s="64">
        <v>10.400000000000006</v>
      </c>
      <c r="X25" s="64">
        <v>26.799999999999997</v>
      </c>
      <c r="Y25" s="160">
        <v>5.2999999999999972</v>
      </c>
    </row>
    <row r="26" spans="1:25" ht="15" customHeight="1">
      <c r="A26" s="151"/>
      <c r="B26" s="54" t="str">
        <f>IF('0'!A1=1,"Кіровоградська","Kirovohrad")</f>
        <v>Кіровоградська</v>
      </c>
      <c r="C26" s="64">
        <v>8.4000000000000057</v>
      </c>
      <c r="D26" s="64">
        <v>-3.9000000000000057</v>
      </c>
      <c r="E26" s="64">
        <v>10.400000000000006</v>
      </c>
      <c r="F26" s="64">
        <v>15.5</v>
      </c>
      <c r="G26" s="64">
        <v>10</v>
      </c>
      <c r="H26" s="64">
        <v>9.0999999999999943</v>
      </c>
      <c r="I26" s="64">
        <v>13.400000000000006</v>
      </c>
      <c r="J26" s="64">
        <v>21.400000000000006</v>
      </c>
      <c r="K26" s="64">
        <v>9.7000000000000028</v>
      </c>
      <c r="L26" s="64">
        <v>8.5</v>
      </c>
      <c r="M26" s="64">
        <v>3.7000000000000028</v>
      </c>
      <c r="N26" s="64">
        <v>-1.2000000000000028</v>
      </c>
      <c r="O26" s="64">
        <v>9.9999999999994316E-2</v>
      </c>
      <c r="P26" s="64">
        <v>24.400000000000006</v>
      </c>
      <c r="Q26" s="64">
        <v>41.300000000000011</v>
      </c>
      <c r="R26" s="64">
        <v>12.299999999999997</v>
      </c>
      <c r="S26" s="64">
        <v>13.799999999999997</v>
      </c>
      <c r="T26" s="64">
        <v>9</v>
      </c>
      <c r="U26" s="64">
        <v>3.5999999999999943</v>
      </c>
      <c r="V26" s="64">
        <v>5.2999999999999972</v>
      </c>
      <c r="W26" s="64">
        <v>10.5</v>
      </c>
      <c r="X26" s="64">
        <v>27.599999999999994</v>
      </c>
      <c r="Y26" s="160">
        <v>5.4000000000000057</v>
      </c>
    </row>
    <row r="27" spans="1:25" ht="15" customHeight="1">
      <c r="A27" s="151"/>
      <c r="B27" s="54" t="str">
        <f>IF('0'!A1=1,"Луганська","Luhansk")</f>
        <v>Луганська</v>
      </c>
      <c r="C27" s="64">
        <v>6.0999999999999943</v>
      </c>
      <c r="D27" s="64">
        <v>-2.9000000000000057</v>
      </c>
      <c r="E27" s="64">
        <v>6.2999999999999972</v>
      </c>
      <c r="F27" s="64">
        <v>11.700000000000003</v>
      </c>
      <c r="G27" s="64">
        <v>12</v>
      </c>
      <c r="H27" s="64">
        <v>16.099999999999994</v>
      </c>
      <c r="I27" s="64">
        <v>15.400000000000006</v>
      </c>
      <c r="J27" s="64">
        <v>23.299999999999997</v>
      </c>
      <c r="K27" s="64">
        <v>12.799999999999997</v>
      </c>
      <c r="L27" s="64">
        <v>10.5</v>
      </c>
      <c r="M27" s="64">
        <v>5.5999999999999943</v>
      </c>
      <c r="N27" s="64">
        <v>0.29999999999999716</v>
      </c>
      <c r="O27" s="64">
        <v>1.2999999999999972</v>
      </c>
      <c r="P27" s="64">
        <v>25.22</v>
      </c>
      <c r="Q27" s="64">
        <v>38.800000000000011</v>
      </c>
      <c r="R27" s="64">
        <v>10.700000000000003</v>
      </c>
      <c r="S27" s="64">
        <v>14.900000000000006</v>
      </c>
      <c r="T27" s="64">
        <v>9.2999999999999972</v>
      </c>
      <c r="U27" s="64">
        <v>4.2999999999999972</v>
      </c>
      <c r="V27" s="64">
        <v>5</v>
      </c>
      <c r="W27" s="64">
        <v>10.900000000000006</v>
      </c>
      <c r="X27" s="64">
        <v>24.900000000000006</v>
      </c>
      <c r="Y27" s="160">
        <v>5.2999999999999972</v>
      </c>
    </row>
    <row r="28" spans="1:25" ht="15" customHeight="1">
      <c r="A28" s="151"/>
      <c r="B28" s="54" t="str">
        <f>IF('0'!A1=1,"Львівська","Lviv")</f>
        <v>Львівська</v>
      </c>
      <c r="C28" s="64">
        <v>5</v>
      </c>
      <c r="D28" s="64">
        <v>1.5</v>
      </c>
      <c r="E28" s="64">
        <v>6</v>
      </c>
      <c r="F28" s="64">
        <v>10.299999999999997</v>
      </c>
      <c r="G28" s="64">
        <v>8.4000000000000057</v>
      </c>
      <c r="H28" s="64">
        <v>7</v>
      </c>
      <c r="I28" s="64">
        <v>16.799999999999997</v>
      </c>
      <c r="J28" s="64">
        <v>25.099999999999994</v>
      </c>
      <c r="K28" s="64">
        <v>13.400000000000006</v>
      </c>
      <c r="L28" s="64">
        <v>9.7000000000000028</v>
      </c>
      <c r="M28" s="64">
        <v>4.9000000000000057</v>
      </c>
      <c r="N28" s="64">
        <v>-0.70000000000000284</v>
      </c>
      <c r="O28" s="64">
        <v>0.20000000000000284</v>
      </c>
      <c r="P28" s="64">
        <v>26.700000000000003</v>
      </c>
      <c r="Q28" s="64">
        <v>45.199999999999989</v>
      </c>
      <c r="R28" s="64">
        <v>11.900000000000006</v>
      </c>
      <c r="S28" s="64">
        <v>13</v>
      </c>
      <c r="T28" s="64">
        <v>10.099999999999994</v>
      </c>
      <c r="U28" s="64">
        <v>4.2000000000000028</v>
      </c>
      <c r="V28" s="64">
        <v>5.2999999999999972</v>
      </c>
      <c r="W28" s="64">
        <v>8.9000000000000057</v>
      </c>
      <c r="X28" s="64">
        <v>26.400000000000006</v>
      </c>
      <c r="Y28" s="160">
        <v>5</v>
      </c>
    </row>
    <row r="29" spans="1:25" ht="15" customHeight="1">
      <c r="A29" s="151"/>
      <c r="B29" s="54" t="str">
        <f>IF('0'!A1=1,"Миколаївська","Mykolayiv")</f>
        <v>Миколаївська</v>
      </c>
      <c r="C29" s="64">
        <v>7.2000000000000028</v>
      </c>
      <c r="D29" s="64">
        <v>2.2000000000000028</v>
      </c>
      <c r="E29" s="64">
        <v>9.5</v>
      </c>
      <c r="F29" s="64">
        <v>12.5</v>
      </c>
      <c r="G29" s="64">
        <v>11.5</v>
      </c>
      <c r="H29" s="64">
        <v>9.0999999999999943</v>
      </c>
      <c r="I29" s="64">
        <v>18.099999999999994</v>
      </c>
      <c r="J29" s="64">
        <v>21.799999999999997</v>
      </c>
      <c r="K29" s="64">
        <v>12.799999999999997</v>
      </c>
      <c r="L29" s="64">
        <v>10</v>
      </c>
      <c r="M29" s="64">
        <v>4.4000000000000057</v>
      </c>
      <c r="N29" s="64">
        <v>-0.70000000000000284</v>
      </c>
      <c r="O29" s="64">
        <v>0.70000000000000284</v>
      </c>
      <c r="P29" s="64">
        <v>24.900000000000006</v>
      </c>
      <c r="Q29" s="64">
        <v>43.5</v>
      </c>
      <c r="R29" s="64">
        <v>12.200000000000003</v>
      </c>
      <c r="S29" s="64">
        <v>13.5</v>
      </c>
      <c r="T29" s="64">
        <v>9.4000000000000057</v>
      </c>
      <c r="U29" s="64">
        <v>3.7999999999999972</v>
      </c>
      <c r="V29" s="64">
        <v>4.9000000000000057</v>
      </c>
      <c r="W29" s="64">
        <v>10.299999999999997</v>
      </c>
      <c r="X29" s="64">
        <v>25.900000000000006</v>
      </c>
      <c r="Y29" s="160">
        <v>5.4000000000000057</v>
      </c>
    </row>
    <row r="30" spans="1:25" ht="15" customHeight="1">
      <c r="A30" s="151"/>
      <c r="B30" s="54" t="str">
        <f>IF('0'!A1=1,"Одеська","Odesa")</f>
        <v>Одеська</v>
      </c>
      <c r="C30" s="64">
        <v>7.2999999999999972</v>
      </c>
      <c r="D30" s="64">
        <v>-1.2999999999999972</v>
      </c>
      <c r="E30" s="64">
        <v>8.5999999999999943</v>
      </c>
      <c r="F30" s="64">
        <v>11.700000000000003</v>
      </c>
      <c r="G30" s="64">
        <v>8.7999999999999972</v>
      </c>
      <c r="H30" s="64">
        <v>10</v>
      </c>
      <c r="I30" s="64">
        <v>19.200000000000003</v>
      </c>
      <c r="J30" s="64">
        <v>23.700000000000003</v>
      </c>
      <c r="K30" s="64">
        <v>14.400000000000006</v>
      </c>
      <c r="L30" s="64">
        <v>10.5</v>
      </c>
      <c r="M30" s="64">
        <v>5.4000000000000057</v>
      </c>
      <c r="N30" s="64">
        <v>-0.59999999999999432</v>
      </c>
      <c r="O30" s="64">
        <v>0.90000000000000568</v>
      </c>
      <c r="P30" s="64">
        <v>27.200000000000003</v>
      </c>
      <c r="Q30" s="64">
        <v>44.599999999999994</v>
      </c>
      <c r="R30" s="64">
        <v>13.599999999999994</v>
      </c>
      <c r="S30" s="64">
        <v>14.599999999999994</v>
      </c>
      <c r="T30" s="64">
        <v>9.2999999999999972</v>
      </c>
      <c r="U30" s="64">
        <v>3.9000000000000057</v>
      </c>
      <c r="V30" s="64">
        <v>4.4000000000000057</v>
      </c>
      <c r="W30" s="64">
        <v>10.400000000000006</v>
      </c>
      <c r="X30" s="64">
        <v>25.200000000000003</v>
      </c>
      <c r="Y30" s="160">
        <v>4</v>
      </c>
    </row>
    <row r="31" spans="1:25" ht="15" customHeight="1">
      <c r="A31" s="151"/>
      <c r="B31" s="54" t="str">
        <f>IF('0'!A1=1,"Полтавська","Poltava")</f>
        <v>Полтавська</v>
      </c>
      <c r="C31" s="64">
        <v>5.5</v>
      </c>
      <c r="D31" s="64">
        <v>-3.7999999999999972</v>
      </c>
      <c r="E31" s="64">
        <v>9.2000000000000028</v>
      </c>
      <c r="F31" s="64">
        <v>13.799999999999997</v>
      </c>
      <c r="G31" s="64">
        <v>13.700000000000003</v>
      </c>
      <c r="H31" s="64">
        <v>11.200000000000003</v>
      </c>
      <c r="I31" s="64">
        <v>18.299999999999997</v>
      </c>
      <c r="J31" s="64">
        <v>23.5</v>
      </c>
      <c r="K31" s="64">
        <v>12.799999999999997</v>
      </c>
      <c r="L31" s="64">
        <v>8.4000000000000057</v>
      </c>
      <c r="M31" s="64">
        <v>3.7000000000000028</v>
      </c>
      <c r="N31" s="64">
        <v>-0.90000000000000568</v>
      </c>
      <c r="O31" s="64">
        <v>-0.40000000000000568</v>
      </c>
      <c r="P31" s="64">
        <v>23.799999999999997</v>
      </c>
      <c r="Q31" s="64">
        <v>45</v>
      </c>
      <c r="R31" s="64">
        <v>14.200000000000003</v>
      </c>
      <c r="S31" s="64">
        <v>13.099999999999994</v>
      </c>
      <c r="T31" s="64">
        <v>9.2999999999999972</v>
      </c>
      <c r="U31" s="64">
        <v>4.5</v>
      </c>
      <c r="V31" s="64">
        <v>3.7000000000000028</v>
      </c>
      <c r="W31" s="64">
        <v>10.400000000000006</v>
      </c>
      <c r="X31" s="64">
        <v>26.599999999999994</v>
      </c>
      <c r="Y31" s="160">
        <v>4.2999999999999972</v>
      </c>
    </row>
    <row r="32" spans="1:25" ht="15" customHeight="1">
      <c r="A32" s="151"/>
      <c r="B32" s="54" t="str">
        <f>IF('0'!A1=1,"Рівненська","Rivne")</f>
        <v>Рівненська</v>
      </c>
      <c r="C32" s="64">
        <v>4.7999999999999972</v>
      </c>
      <c r="D32" s="64">
        <v>-2.2000000000000028</v>
      </c>
      <c r="E32" s="64">
        <v>10.700000000000003</v>
      </c>
      <c r="F32" s="64">
        <v>12.299999999999997</v>
      </c>
      <c r="G32" s="64">
        <v>10.299999999999997</v>
      </c>
      <c r="H32" s="64">
        <v>9.5999999999999943</v>
      </c>
      <c r="I32" s="64">
        <v>16</v>
      </c>
      <c r="J32" s="64">
        <v>22.099999999999994</v>
      </c>
      <c r="K32" s="64">
        <v>12</v>
      </c>
      <c r="L32" s="64">
        <v>8.2999999999999972</v>
      </c>
      <c r="M32" s="64">
        <v>3.4000000000000057</v>
      </c>
      <c r="N32" s="64">
        <v>-1.0999999999999943</v>
      </c>
      <c r="O32" s="64">
        <v>-0.70000000000000284</v>
      </c>
      <c r="P32" s="64">
        <v>27</v>
      </c>
      <c r="Q32" s="64">
        <v>44.900000000000006</v>
      </c>
      <c r="R32" s="64">
        <v>12.299999999999997</v>
      </c>
      <c r="S32" s="64">
        <v>15</v>
      </c>
      <c r="T32" s="64">
        <v>9.2999999999999972</v>
      </c>
      <c r="U32" s="64">
        <v>4.4000000000000057</v>
      </c>
      <c r="V32" s="64">
        <v>5.2999999999999972</v>
      </c>
      <c r="W32" s="64">
        <v>9.5999999999999943</v>
      </c>
      <c r="X32" s="64">
        <v>25.400000000000006</v>
      </c>
      <c r="Y32" s="160">
        <v>4.9000000000000057</v>
      </c>
    </row>
    <row r="33" spans="1:25" ht="15" customHeight="1">
      <c r="A33" s="151"/>
      <c r="B33" s="54" t="str">
        <f>IF('0'!A1=1,"Сумська","Sumy")</f>
        <v>Сумська</v>
      </c>
      <c r="C33" s="64">
        <v>6.0999999999999943</v>
      </c>
      <c r="D33" s="64">
        <v>-1.7999999999999972</v>
      </c>
      <c r="E33" s="64">
        <v>8.0999999999999943</v>
      </c>
      <c r="F33" s="64">
        <v>14.299999999999997</v>
      </c>
      <c r="G33" s="64">
        <v>12.200000000000003</v>
      </c>
      <c r="H33" s="64">
        <v>13.299999999999997</v>
      </c>
      <c r="I33" s="64">
        <v>15</v>
      </c>
      <c r="J33" s="64">
        <v>21</v>
      </c>
      <c r="K33" s="64">
        <v>10.799999999999997</v>
      </c>
      <c r="L33" s="64">
        <v>8.9000000000000057</v>
      </c>
      <c r="M33" s="64">
        <v>3.5999999999999943</v>
      </c>
      <c r="N33" s="64">
        <v>-1.2000000000000028</v>
      </c>
      <c r="O33" s="64">
        <v>-0.5</v>
      </c>
      <c r="P33" s="64">
        <v>24.700000000000003</v>
      </c>
      <c r="Q33" s="64">
        <v>45.5</v>
      </c>
      <c r="R33" s="64">
        <v>14.200000000000003</v>
      </c>
      <c r="S33" s="64">
        <v>13.599999999999994</v>
      </c>
      <c r="T33" s="64">
        <v>9.7000000000000028</v>
      </c>
      <c r="U33" s="64">
        <v>4.7999999999999972</v>
      </c>
      <c r="V33" s="64">
        <v>4.7999999999999972</v>
      </c>
      <c r="W33" s="64">
        <v>11</v>
      </c>
      <c r="X33" s="64">
        <v>28.199999999999989</v>
      </c>
      <c r="Y33" s="160">
        <v>4.5</v>
      </c>
    </row>
    <row r="34" spans="1:25" ht="15" customHeight="1">
      <c r="A34" s="151"/>
      <c r="B34" s="54" t="str">
        <f>IF('0'!A1=1,"Тернопільська","Ternopyl")</f>
        <v>Тернопільська</v>
      </c>
      <c r="C34" s="64">
        <v>4.0999999999999943</v>
      </c>
      <c r="D34" s="64">
        <v>-1.5999999999999943</v>
      </c>
      <c r="E34" s="64">
        <v>4.2000000000000028</v>
      </c>
      <c r="F34" s="64">
        <v>10.700000000000003</v>
      </c>
      <c r="G34" s="64">
        <v>8.4000000000000057</v>
      </c>
      <c r="H34" s="64">
        <v>10</v>
      </c>
      <c r="I34" s="64">
        <v>20.099999999999994</v>
      </c>
      <c r="J34" s="64">
        <v>18.599999999999994</v>
      </c>
      <c r="K34" s="64">
        <v>11.200000000000003</v>
      </c>
      <c r="L34" s="64">
        <v>8.5</v>
      </c>
      <c r="M34" s="64">
        <v>3.7000000000000028</v>
      </c>
      <c r="N34" s="64">
        <v>-1.0999999999999943</v>
      </c>
      <c r="O34" s="64">
        <v>-0.79999999999999716</v>
      </c>
      <c r="P34" s="64">
        <v>25.400000000000006</v>
      </c>
      <c r="Q34" s="64">
        <v>45.099999999999994</v>
      </c>
      <c r="R34" s="64">
        <v>11.599999999999994</v>
      </c>
      <c r="S34" s="64">
        <v>13.299999999999997</v>
      </c>
      <c r="T34" s="64">
        <v>9.7000000000000028</v>
      </c>
      <c r="U34" s="64">
        <v>4.2000000000000028</v>
      </c>
      <c r="V34" s="64">
        <v>3.7000000000000028</v>
      </c>
      <c r="W34" s="64">
        <v>9.5</v>
      </c>
      <c r="X34" s="64">
        <v>25.400000000000006</v>
      </c>
      <c r="Y34" s="160">
        <v>4.4000000000000057</v>
      </c>
    </row>
    <row r="35" spans="1:25" ht="15" customHeight="1">
      <c r="A35" s="151"/>
      <c r="B35" s="54" t="str">
        <f>IF('0'!A1=1,"Харківська","Kharkiv")</f>
        <v>Харківська</v>
      </c>
      <c r="C35" s="64">
        <v>3</v>
      </c>
      <c r="D35" s="64">
        <v>-2.7999999999999972</v>
      </c>
      <c r="E35" s="64">
        <v>9.2999999999999972</v>
      </c>
      <c r="F35" s="64">
        <v>12.900000000000006</v>
      </c>
      <c r="G35" s="64">
        <v>8.9000000000000057</v>
      </c>
      <c r="H35" s="64">
        <v>12.700000000000003</v>
      </c>
      <c r="I35" s="64">
        <v>19.099999999999994</v>
      </c>
      <c r="J35" s="64">
        <v>23.799999999999997</v>
      </c>
      <c r="K35" s="64">
        <v>12.900000000000006</v>
      </c>
      <c r="L35" s="64">
        <v>9</v>
      </c>
      <c r="M35" s="64">
        <v>4.0999999999999943</v>
      </c>
      <c r="N35" s="64">
        <v>-0.79999999999999716</v>
      </c>
      <c r="O35" s="64">
        <v>-0.40000000000000568</v>
      </c>
      <c r="P35" s="64">
        <v>25.299999999999997</v>
      </c>
      <c r="Q35" s="64">
        <v>44.199999999999989</v>
      </c>
      <c r="R35" s="64">
        <v>14.099999999999994</v>
      </c>
      <c r="S35" s="64">
        <v>13.799999999999997</v>
      </c>
      <c r="T35" s="64">
        <v>11.200000000000003</v>
      </c>
      <c r="U35" s="64">
        <v>4.7999999999999972</v>
      </c>
      <c r="V35" s="64">
        <v>5.2000000000000028</v>
      </c>
      <c r="W35" s="64">
        <v>10.099999999999994</v>
      </c>
      <c r="X35" s="64">
        <v>25.299999999999997</v>
      </c>
      <c r="Y35" s="160">
        <v>5.5</v>
      </c>
    </row>
    <row r="36" spans="1:25" ht="15" customHeight="1">
      <c r="A36" s="151"/>
      <c r="B36" s="54" t="str">
        <f>IF('0'!A1=1,"Херсонська","Kherson")</f>
        <v>Херсонська</v>
      </c>
      <c r="C36" s="64">
        <v>9.4000000000000057</v>
      </c>
      <c r="D36" s="64">
        <v>-0.70000000000000284</v>
      </c>
      <c r="E36" s="64">
        <v>10.5</v>
      </c>
      <c r="F36" s="64">
        <v>12.799999999999997</v>
      </c>
      <c r="G36" s="64">
        <v>9.2000000000000028</v>
      </c>
      <c r="H36" s="64">
        <v>9.2000000000000028</v>
      </c>
      <c r="I36" s="64">
        <v>18.299999999999997</v>
      </c>
      <c r="J36" s="64">
        <v>21.900000000000006</v>
      </c>
      <c r="K36" s="64">
        <v>12.599999999999994</v>
      </c>
      <c r="L36" s="64">
        <v>10.599999999999994</v>
      </c>
      <c r="M36" s="64">
        <v>4.5</v>
      </c>
      <c r="N36" s="64">
        <v>-0.59999999999999432</v>
      </c>
      <c r="O36" s="64">
        <v>0.5</v>
      </c>
      <c r="P36" s="64">
        <v>24.099999999999994</v>
      </c>
      <c r="Q36" s="64">
        <v>45.800000000000011</v>
      </c>
      <c r="R36" s="64">
        <v>12.799999999999997</v>
      </c>
      <c r="S36" s="64">
        <v>14.400000000000006</v>
      </c>
      <c r="T36" s="64">
        <v>9.5</v>
      </c>
      <c r="U36" s="64">
        <v>3.2999999999999972</v>
      </c>
      <c r="V36" s="64">
        <v>5.5999999999999943</v>
      </c>
      <c r="W36" s="64">
        <v>10</v>
      </c>
      <c r="X36" s="64">
        <v>42.300000000000011</v>
      </c>
      <c r="Y36" s="160">
        <v>1.7000000000000028</v>
      </c>
    </row>
    <row r="37" spans="1:25" ht="15" customHeight="1">
      <c r="A37" s="151"/>
      <c r="B37" s="54" t="str">
        <f>IF('0'!A1=1,"Хмельницька","Khmelnytskiy")</f>
        <v>Хмельницька</v>
      </c>
      <c r="C37" s="64">
        <v>5.2000000000000028</v>
      </c>
      <c r="D37" s="64">
        <v>-2.4000000000000057</v>
      </c>
      <c r="E37" s="64">
        <v>7.5</v>
      </c>
      <c r="F37" s="64">
        <v>13.5</v>
      </c>
      <c r="G37" s="64">
        <v>8.5</v>
      </c>
      <c r="H37" s="64">
        <v>10.799999999999997</v>
      </c>
      <c r="I37" s="64">
        <v>17.900000000000006</v>
      </c>
      <c r="J37" s="64">
        <v>22.700000000000003</v>
      </c>
      <c r="K37" s="64">
        <v>13</v>
      </c>
      <c r="L37" s="64">
        <v>9.5999999999999943</v>
      </c>
      <c r="M37" s="64">
        <v>4</v>
      </c>
      <c r="N37" s="64">
        <v>-0.40000000000000568</v>
      </c>
      <c r="O37" s="64">
        <v>0</v>
      </c>
      <c r="P37" s="64">
        <v>23.700000000000003</v>
      </c>
      <c r="Q37" s="64">
        <v>42.5</v>
      </c>
      <c r="R37" s="64">
        <v>11.400000000000006</v>
      </c>
      <c r="S37" s="64">
        <v>13.799999999999997</v>
      </c>
      <c r="T37" s="64">
        <v>9.2000000000000028</v>
      </c>
      <c r="U37" s="64">
        <v>4.4000000000000057</v>
      </c>
      <c r="V37" s="64">
        <v>4.9000000000000057</v>
      </c>
      <c r="W37" s="64">
        <v>9.7999999999999972</v>
      </c>
      <c r="X37" s="64">
        <v>25.900000000000006</v>
      </c>
      <c r="Y37" s="160">
        <v>6.2999999999999972</v>
      </c>
    </row>
    <row r="38" spans="1:25" ht="15" customHeight="1">
      <c r="A38" s="151"/>
      <c r="B38" s="54" t="str">
        <f>IF('0'!A1=1,"Черкаська","Cherkasy")</f>
        <v>Черкаська</v>
      </c>
      <c r="C38" s="64">
        <v>6.2000000000000028</v>
      </c>
      <c r="D38" s="64">
        <v>-1.4000000000000057</v>
      </c>
      <c r="E38" s="64">
        <v>7.2999999999999972</v>
      </c>
      <c r="F38" s="64">
        <v>12.700000000000003</v>
      </c>
      <c r="G38" s="64">
        <v>11.400000000000006</v>
      </c>
      <c r="H38" s="64">
        <v>10.200000000000003</v>
      </c>
      <c r="I38" s="64">
        <v>17.900000000000006</v>
      </c>
      <c r="J38" s="64">
        <v>22.299999999999997</v>
      </c>
      <c r="K38" s="64">
        <v>11.5</v>
      </c>
      <c r="L38" s="64">
        <v>9</v>
      </c>
      <c r="M38" s="64">
        <v>3.5</v>
      </c>
      <c r="N38" s="64">
        <v>-0.5</v>
      </c>
      <c r="O38" s="64">
        <v>0.29999999999999716</v>
      </c>
      <c r="P38" s="64">
        <v>24.200000000000003</v>
      </c>
      <c r="Q38" s="64">
        <v>43.800000000000011</v>
      </c>
      <c r="R38" s="64">
        <v>12.700000000000003</v>
      </c>
      <c r="S38" s="64">
        <v>14.599999999999994</v>
      </c>
      <c r="T38" s="64">
        <v>9.7000000000000028</v>
      </c>
      <c r="U38" s="64">
        <v>3.2000000000000028</v>
      </c>
      <c r="V38" s="64">
        <v>5.9000000000000057</v>
      </c>
      <c r="W38" s="64">
        <v>11.700000000000003</v>
      </c>
      <c r="X38" s="64">
        <v>25.400000000000006</v>
      </c>
      <c r="Y38" s="160">
        <v>5.2999999999999972</v>
      </c>
    </row>
    <row r="39" spans="1:25" ht="15" customHeight="1">
      <c r="A39" s="151"/>
      <c r="B39" s="54" t="str">
        <f>IF('0'!A1=1,"Чернівецька","Chernivtsi")</f>
        <v>Чернівецька</v>
      </c>
      <c r="C39" s="64">
        <v>3.9000000000000057</v>
      </c>
      <c r="D39" s="64">
        <v>0.79999999999999716</v>
      </c>
      <c r="E39" s="64">
        <v>7.2000000000000028</v>
      </c>
      <c r="F39" s="64">
        <v>9.9000000000000057</v>
      </c>
      <c r="G39" s="64">
        <v>11.299999999999997</v>
      </c>
      <c r="H39" s="64">
        <v>9.2000000000000028</v>
      </c>
      <c r="I39" s="64">
        <v>17.299999999999997</v>
      </c>
      <c r="J39" s="64">
        <v>19</v>
      </c>
      <c r="K39" s="64">
        <v>10.099999999999994</v>
      </c>
      <c r="L39" s="64">
        <v>8.2000000000000028</v>
      </c>
      <c r="M39" s="64">
        <v>2.4000000000000057</v>
      </c>
      <c r="N39" s="64">
        <v>-1.2000000000000028</v>
      </c>
      <c r="O39" s="64">
        <v>-9.9999999999994316E-2</v>
      </c>
      <c r="P39" s="64">
        <v>23.5</v>
      </c>
      <c r="Q39" s="64">
        <v>42</v>
      </c>
      <c r="R39" s="64">
        <v>11</v>
      </c>
      <c r="S39" s="64">
        <v>12.400000000000006</v>
      </c>
      <c r="T39" s="64">
        <v>8.7000000000000028</v>
      </c>
      <c r="U39" s="64">
        <v>3.7999999999999972</v>
      </c>
      <c r="V39" s="64">
        <v>5.5</v>
      </c>
      <c r="W39" s="64">
        <v>8.4000000000000057</v>
      </c>
      <c r="X39" s="64">
        <v>25.900000000000006</v>
      </c>
      <c r="Y39" s="160">
        <v>5.0999999999999943</v>
      </c>
    </row>
    <row r="40" spans="1:25" ht="15" customHeight="1">
      <c r="A40" s="151"/>
      <c r="B40" s="54" t="str">
        <f>IF('0'!A1=1,"Чернігівська","Chernihiv")</f>
        <v>Чернігівська</v>
      </c>
      <c r="C40" s="64">
        <v>1.9000000000000057</v>
      </c>
      <c r="D40" s="64">
        <v>-3.4000000000000057</v>
      </c>
      <c r="E40" s="64">
        <v>8</v>
      </c>
      <c r="F40" s="64">
        <v>14.700000000000003</v>
      </c>
      <c r="G40" s="64">
        <v>9.9000000000000057</v>
      </c>
      <c r="H40" s="64">
        <v>11.599999999999994</v>
      </c>
      <c r="I40" s="64">
        <v>15</v>
      </c>
      <c r="J40" s="64">
        <v>23.099999999999994</v>
      </c>
      <c r="K40" s="64">
        <v>12.700000000000003</v>
      </c>
      <c r="L40" s="64">
        <v>9.5</v>
      </c>
      <c r="M40" s="64">
        <v>3.5999999999999943</v>
      </c>
      <c r="N40" s="64">
        <v>-1.2000000000000028</v>
      </c>
      <c r="O40" s="64">
        <v>-0.59999999999999432</v>
      </c>
      <c r="P40" s="64">
        <v>26.700000000000003</v>
      </c>
      <c r="Q40" s="64">
        <v>45.599999999999994</v>
      </c>
      <c r="R40" s="64">
        <v>12.799999999999997</v>
      </c>
      <c r="S40" s="64">
        <v>13.900000000000006</v>
      </c>
      <c r="T40" s="64">
        <v>9.5999999999999943</v>
      </c>
      <c r="U40" s="64">
        <v>4.2999999999999972</v>
      </c>
      <c r="V40" s="64">
        <v>5.2000000000000028</v>
      </c>
      <c r="W40" s="64">
        <v>10.599999999999994</v>
      </c>
      <c r="X40" s="64">
        <v>28.400000000000006</v>
      </c>
      <c r="Y40" s="160">
        <v>4.7000000000000028</v>
      </c>
    </row>
    <row r="41" spans="1:25" ht="15" customHeight="1">
      <c r="A41" s="151"/>
      <c r="B41" s="54" t="str">
        <f>IF('0'!A1=1,"м. Київ","Kyiv city")</f>
        <v>м. Київ</v>
      </c>
      <c r="C41" s="64">
        <v>7</v>
      </c>
      <c r="D41" s="64">
        <v>3.5999999999999943</v>
      </c>
      <c r="E41" s="64">
        <v>8.0999999999999943</v>
      </c>
      <c r="F41" s="64">
        <v>11</v>
      </c>
      <c r="G41" s="64">
        <v>10.5</v>
      </c>
      <c r="H41" s="64">
        <v>9.2000000000000028</v>
      </c>
      <c r="I41" s="64">
        <v>21</v>
      </c>
      <c r="J41" s="64">
        <v>21.599999999999994</v>
      </c>
      <c r="K41" s="64">
        <v>13.400000000000006</v>
      </c>
      <c r="L41" s="64">
        <v>9.7999999999999972</v>
      </c>
      <c r="M41" s="64">
        <v>6.0999999999999943</v>
      </c>
      <c r="N41" s="64">
        <v>1.5999999999999943</v>
      </c>
      <c r="O41" s="64">
        <v>1.5</v>
      </c>
      <c r="P41" s="64">
        <v>25.799999999999997</v>
      </c>
      <c r="Q41" s="64">
        <v>38.599999999999994</v>
      </c>
      <c r="R41" s="64">
        <v>14</v>
      </c>
      <c r="S41" s="64">
        <v>13.400000000000006</v>
      </c>
      <c r="T41" s="64">
        <v>8.7999999999999972</v>
      </c>
      <c r="U41" s="64">
        <v>3.9000000000000057</v>
      </c>
      <c r="V41" s="64">
        <v>5.7999999999999972</v>
      </c>
      <c r="W41" s="64">
        <v>9.7000000000000028</v>
      </c>
      <c r="X41" s="64">
        <v>27.400000000000006</v>
      </c>
      <c r="Y41" s="160">
        <v>6.2999999999999972</v>
      </c>
    </row>
    <row r="42" spans="1:25" ht="15" customHeight="1" thickBot="1">
      <c r="A42" s="152"/>
      <c r="B42" s="55" t="str">
        <f>IF('0'!A1=1,"м. Севастополь","Sevastopol city")</f>
        <v>м. Севастополь</v>
      </c>
      <c r="C42" s="65">
        <v>8.9000000000000057</v>
      </c>
      <c r="D42" s="66">
        <v>0</v>
      </c>
      <c r="E42" s="66">
        <v>4.7999999999999972</v>
      </c>
      <c r="F42" s="66">
        <v>11.400000000000006</v>
      </c>
      <c r="G42" s="66">
        <v>10</v>
      </c>
      <c r="H42" s="66">
        <v>11.700000000000003</v>
      </c>
      <c r="I42" s="66">
        <v>18.200000000000003</v>
      </c>
      <c r="J42" s="66">
        <v>19.5</v>
      </c>
      <c r="K42" s="66">
        <v>13.900000000000006</v>
      </c>
      <c r="L42" s="66">
        <v>12.799999999999997</v>
      </c>
      <c r="M42" s="66">
        <v>6.7000000000000028</v>
      </c>
      <c r="N42" s="66">
        <v>0.70000000000000284</v>
      </c>
      <c r="O42" s="66">
        <v>0.20000000000000284</v>
      </c>
      <c r="P42" s="67" t="s">
        <v>0</v>
      </c>
      <c r="Q42" s="67" t="s">
        <v>0</v>
      </c>
      <c r="R42" s="67" t="s">
        <v>0</v>
      </c>
      <c r="S42" s="67" t="s">
        <v>0</v>
      </c>
      <c r="T42" s="67" t="s">
        <v>0</v>
      </c>
      <c r="U42" s="67" t="s">
        <v>0</v>
      </c>
      <c r="V42" s="67" t="s">
        <v>0</v>
      </c>
      <c r="W42" s="67" t="s">
        <v>0</v>
      </c>
      <c r="X42" s="67" t="s">
        <v>0</v>
      </c>
      <c r="Y42" s="67" t="s">
        <v>0</v>
      </c>
    </row>
    <row r="43" spans="1:25" ht="13.8" thickTop="1"/>
    <row r="44" spans="1:25" ht="84" customHeight="1">
      <c r="A44" s="153" t="str">
        <f>IF('0'!A1=1,"* Починаючи з  2014 року дані наведено без урахування тимчасово окупованої території Автономної Республіки Крим, м. Севастополя. Починаючи з 2015 року також без частини тимчасово окупованих територій у Донецькій та Луганській областях.","* Since 2014 data are presented excluding the temporarily occupied territories, the Autonomous Republic of Crimea and the city of Sevastopol. Since 2015 also exclude a part of temporarily occupied territories in the Donetsk and Luhansk regions.")</f>
        <v>* Починаючи з  2014 року дані наведено без урахування тимчасово окупованої території Автономної Республіки Крим, м. Севастополя. Починаючи з 2015 року також без частини тимчасово окупованих територій у Донецькій та Луганській областях.</v>
      </c>
      <c r="B44" s="153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25">
      <c r="A45" s="58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25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25"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1:25" ht="16.2">
      <c r="B48" s="12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3:16"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3:16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3:16"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3:16"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3:16"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3:16"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3:16"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3:16"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3:16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3:16"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3:16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</row>
    <row r="60" spans="3:16"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3:16"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</row>
    <row r="62" spans="3:16"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3:16"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3:16"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3:16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3:16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3:16"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3:16"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3:16"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3:16"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3:16"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3:16"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3:16"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3:16"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3:16"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3:16"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3:16"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3:16"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3:16"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3:16"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3:16"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3:16"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3:16"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3:16"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3:16"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3:16"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3:16"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3:16"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3:16"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</row>
    <row r="90" spans="3:16"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</row>
  </sheetData>
  <sheetProtection password="CF16" sheet="1" objects="1" scenarios="1"/>
  <mergeCells count="4">
    <mergeCell ref="A4:A15"/>
    <mergeCell ref="A3:B3"/>
    <mergeCell ref="A16:A42"/>
    <mergeCell ref="A44:B44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showRowColHeaders="0" zoomScale="110" zoomScaleNormal="110" workbookViewId="0">
      <pane xSplit="2" ySplit="2" topLeftCell="M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2"/>
  <cols>
    <col min="1" max="1" width="7.33203125" customWidth="1"/>
    <col min="2" max="2" width="46" customWidth="1"/>
    <col min="17" max="17" width="10.77734375" customWidth="1"/>
    <col min="19" max="19" width="10.77734375" customWidth="1"/>
    <col min="21" max="24" width="10.77734375" customWidth="1"/>
  </cols>
  <sheetData>
    <row r="1" spans="1:24" ht="14.4">
      <c r="A1" s="49" t="str">
        <f>IF('0'!A1=1,"до змісту","to title")</f>
        <v>до змісту</v>
      </c>
      <c r="B1" s="68"/>
    </row>
    <row r="2" spans="1:24" ht="15.6">
      <c r="A2" s="155"/>
      <c r="B2" s="156"/>
      <c r="C2" s="42">
        <v>37431</v>
      </c>
      <c r="D2" s="42">
        <v>37797</v>
      </c>
      <c r="E2" s="42">
        <v>38163</v>
      </c>
      <c r="F2" s="42">
        <v>38529</v>
      </c>
      <c r="G2" s="42">
        <v>38895</v>
      </c>
      <c r="H2" s="42">
        <v>39261</v>
      </c>
      <c r="I2" s="42">
        <v>39627</v>
      </c>
      <c r="J2" s="42">
        <v>39993</v>
      </c>
      <c r="K2" s="42">
        <v>40359</v>
      </c>
      <c r="L2" s="42">
        <v>40725</v>
      </c>
      <c r="M2" s="42">
        <v>41091</v>
      </c>
      <c r="N2" s="42">
        <v>41457</v>
      </c>
      <c r="O2" s="42">
        <v>41823</v>
      </c>
      <c r="P2" s="42">
        <v>42189</v>
      </c>
      <c r="Q2" s="42">
        <v>42555</v>
      </c>
      <c r="R2" s="42">
        <v>42920</v>
      </c>
      <c r="S2" s="42">
        <v>43285</v>
      </c>
      <c r="T2" s="42">
        <v>43650</v>
      </c>
      <c r="U2" s="42">
        <v>44016</v>
      </c>
      <c r="V2" s="42">
        <v>44381</v>
      </c>
      <c r="W2" s="42">
        <v>44746</v>
      </c>
      <c r="X2" s="42">
        <v>45111</v>
      </c>
    </row>
    <row r="3" spans="1:24" ht="36" customHeight="1">
      <c r="A3" s="154" t="str">
        <f>IF('0'!A1=1,"Індекс споживчих цін  (рік до попереднього року, %)","Consumer price indices (year to the previous year , %)")</f>
        <v>Індекс споживчих цін  (рік до попереднього року, %)</v>
      </c>
      <c r="B3" s="154"/>
      <c r="C3" s="60">
        <v>0.79999999999999716</v>
      </c>
      <c r="D3" s="60">
        <v>5.2000000000000028</v>
      </c>
      <c r="E3" s="60">
        <v>9</v>
      </c>
      <c r="F3" s="60">
        <v>13.5</v>
      </c>
      <c r="G3" s="60">
        <v>9.0999999999999943</v>
      </c>
      <c r="H3" s="60">
        <v>12.799999999999997</v>
      </c>
      <c r="I3" s="60">
        <v>25.200000000000003</v>
      </c>
      <c r="J3" s="60">
        <v>15.900000000000006</v>
      </c>
      <c r="K3" s="60">
        <v>9.4000000000000057</v>
      </c>
      <c r="L3" s="60">
        <v>8</v>
      </c>
      <c r="M3" s="60">
        <v>0.59999999999999432</v>
      </c>
      <c r="N3" s="60">
        <v>-0.29999999999999716</v>
      </c>
      <c r="O3" s="60">
        <v>12.099999999999994</v>
      </c>
      <c r="P3" s="60">
        <v>48.699999999999989</v>
      </c>
      <c r="Q3" s="60">
        <v>13.9</v>
      </c>
      <c r="R3" s="60">
        <v>14.4</v>
      </c>
      <c r="S3" s="60">
        <v>10.9</v>
      </c>
      <c r="T3" s="60">
        <v>7.9</v>
      </c>
      <c r="U3" s="60">
        <v>2.7</v>
      </c>
      <c r="V3" s="60">
        <v>9.4</v>
      </c>
      <c r="W3" s="60">
        <v>20.200000000000003</v>
      </c>
      <c r="X3" s="161">
        <v>12.9</v>
      </c>
    </row>
    <row r="4" spans="1:24" ht="31.5" customHeight="1">
      <c r="A4" s="147" t="str">
        <f>IF('0'!A1=1,"ТОВАРНІ ГРУПИ*","PRODUCTS GROUPS*")</f>
        <v>ТОВАРНІ ГРУПИ*</v>
      </c>
      <c r="B4" s="5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62">
        <v>-9.9999999999994316E-2</v>
      </c>
      <c r="D4" s="62">
        <v>6.2999999999999972</v>
      </c>
      <c r="E4" s="62">
        <v>11.400000000000006</v>
      </c>
      <c r="F4" s="62">
        <v>16.200000000000003</v>
      </c>
      <c r="G4" s="62">
        <v>5.2999999999999972</v>
      </c>
      <c r="H4" s="62">
        <v>9.7000000000000028</v>
      </c>
      <c r="I4" s="62">
        <v>35.699999999999989</v>
      </c>
      <c r="J4" s="62">
        <v>11.900000000000006</v>
      </c>
      <c r="K4" s="62">
        <v>10.900000000000006</v>
      </c>
      <c r="L4" s="62">
        <v>6.4000000000000057</v>
      </c>
      <c r="M4" s="62">
        <v>-2.0999999999999943</v>
      </c>
      <c r="N4" s="62">
        <v>-2.2000000000000028</v>
      </c>
      <c r="O4" s="62">
        <v>12.200000000000003</v>
      </c>
      <c r="P4" s="62">
        <v>45.900000000000006</v>
      </c>
      <c r="Q4" s="62">
        <v>9</v>
      </c>
      <c r="R4" s="62">
        <v>12.9</v>
      </c>
      <c r="S4" s="62">
        <v>11.1</v>
      </c>
      <c r="T4" s="62">
        <v>8</v>
      </c>
      <c r="U4" s="62">
        <v>2.7</v>
      </c>
      <c r="V4" s="62">
        <v>10.8</v>
      </c>
      <c r="W4" s="62">
        <v>26.599999999999994</v>
      </c>
      <c r="X4" s="162">
        <v>14.7</v>
      </c>
    </row>
    <row r="5" spans="1:24" ht="15.6">
      <c r="A5" s="147"/>
      <c r="B5" s="52" t="str">
        <f>IF('0'!A1=1,"Алкогольні напої, тютюнові вироби","Alcoholic beverages, tobacco")</f>
        <v>Алкогольні напої, тютюнові вироби</v>
      </c>
      <c r="C5" s="62">
        <v>1.0999999999999943</v>
      </c>
      <c r="D5" s="62">
        <v>2.2000000000000028</v>
      </c>
      <c r="E5" s="62">
        <v>4.7000000000000028</v>
      </c>
      <c r="F5" s="62">
        <v>6.5</v>
      </c>
      <c r="G5" s="62">
        <v>6.2000000000000028</v>
      </c>
      <c r="H5" s="62">
        <v>7.7999999999999972</v>
      </c>
      <c r="I5" s="62">
        <v>14.900000000000006</v>
      </c>
      <c r="J5" s="62">
        <v>36</v>
      </c>
      <c r="K5" s="62">
        <v>25.599999999999994</v>
      </c>
      <c r="L5" s="62">
        <v>16</v>
      </c>
      <c r="M5" s="62">
        <v>7.5</v>
      </c>
      <c r="N5" s="62">
        <v>8.4000000000000057</v>
      </c>
      <c r="O5" s="62">
        <v>16.700000000000003</v>
      </c>
      <c r="P5" s="62">
        <v>33.199999999999989</v>
      </c>
      <c r="Q5" s="62">
        <v>12.6</v>
      </c>
      <c r="R5" s="62">
        <v>26.2</v>
      </c>
      <c r="S5" s="62">
        <v>18.5</v>
      </c>
      <c r="T5" s="62">
        <v>15.6</v>
      </c>
      <c r="U5" s="62">
        <v>10.7</v>
      </c>
      <c r="V5" s="62">
        <v>9.8000000000000007</v>
      </c>
      <c r="W5" s="62">
        <v>17.400000000000006</v>
      </c>
      <c r="X5" s="162">
        <v>14.6</v>
      </c>
    </row>
    <row r="6" spans="1:24" ht="15.6">
      <c r="A6" s="147"/>
      <c r="B6" s="52" t="str">
        <f>IF('0'!A1=1,"Одяг і взуття","Clothing and footwear")</f>
        <v>Одяг і взуття</v>
      </c>
      <c r="C6" s="62">
        <v>1</v>
      </c>
      <c r="D6" s="62">
        <v>0.59999999999999432</v>
      </c>
      <c r="E6" s="62">
        <v>1</v>
      </c>
      <c r="F6" s="62">
        <v>1.9000000000000057</v>
      </c>
      <c r="G6" s="62">
        <v>2.2999999999999972</v>
      </c>
      <c r="H6" s="62">
        <v>2</v>
      </c>
      <c r="I6" s="62">
        <v>2.7999999999999972</v>
      </c>
      <c r="J6" s="62">
        <v>8</v>
      </c>
      <c r="K6" s="62">
        <v>3.7000000000000028</v>
      </c>
      <c r="L6" s="62">
        <v>1.5999999999999943</v>
      </c>
      <c r="M6" s="62">
        <v>-1.0999999999999943</v>
      </c>
      <c r="N6" s="62">
        <v>-3</v>
      </c>
      <c r="O6" s="62">
        <v>2</v>
      </c>
      <c r="P6" s="62">
        <v>33.099999999999994</v>
      </c>
      <c r="Q6" s="62">
        <v>16.100000000000001</v>
      </c>
      <c r="R6" s="62">
        <v>2.4</v>
      </c>
      <c r="S6" s="62">
        <v>1.8</v>
      </c>
      <c r="T6" s="62">
        <v>0.2</v>
      </c>
      <c r="U6" s="62">
        <v>-4.5999999999999996</v>
      </c>
      <c r="V6" s="62">
        <v>-4.5</v>
      </c>
      <c r="W6" s="62">
        <v>-2.7000000000000028</v>
      </c>
      <c r="X6" s="162">
        <v>-0.5</v>
      </c>
    </row>
    <row r="7" spans="1:24" ht="31.2">
      <c r="A7" s="147"/>
      <c r="B7" s="5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62">
        <v>2.2999999999999972</v>
      </c>
      <c r="D7" s="62">
        <v>4.2999999999999972</v>
      </c>
      <c r="E7" s="62">
        <v>7.0999999999999943</v>
      </c>
      <c r="F7" s="62">
        <v>9</v>
      </c>
      <c r="G7" s="62">
        <v>34.099999999999994</v>
      </c>
      <c r="H7" s="62">
        <v>42.5</v>
      </c>
      <c r="I7" s="62">
        <v>14.200000000000003</v>
      </c>
      <c r="J7" s="62">
        <v>25.5</v>
      </c>
      <c r="K7" s="62">
        <v>9.4000000000000057</v>
      </c>
      <c r="L7" s="62">
        <v>17.099999999999994</v>
      </c>
      <c r="M7" s="62">
        <v>2.5999999999999943</v>
      </c>
      <c r="N7" s="62">
        <v>0.29999999999999716</v>
      </c>
      <c r="O7" s="62">
        <v>16.200000000000003</v>
      </c>
      <c r="P7" s="62">
        <v>115.80000000000001</v>
      </c>
      <c r="Q7" s="62">
        <v>35.1</v>
      </c>
      <c r="R7" s="62">
        <v>26.7</v>
      </c>
      <c r="S7" s="62">
        <v>6.8</v>
      </c>
      <c r="T7" s="62">
        <v>8</v>
      </c>
      <c r="U7" s="62">
        <v>-3</v>
      </c>
      <c r="V7" s="62">
        <v>23.2</v>
      </c>
      <c r="W7" s="62">
        <v>5.0999999999999943</v>
      </c>
      <c r="X7" s="162">
        <v>10</v>
      </c>
    </row>
    <row r="8" spans="1:24" ht="47.25" customHeight="1">
      <c r="A8" s="147"/>
      <c r="B8" s="5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62">
        <v>0.59999999999999432</v>
      </c>
      <c r="D8" s="62">
        <v>1.5999999999999943</v>
      </c>
      <c r="E8" s="62">
        <v>3</v>
      </c>
      <c r="F8" s="62">
        <v>4.7000000000000028</v>
      </c>
      <c r="G8" s="62">
        <v>2</v>
      </c>
      <c r="H8" s="62">
        <v>2.2999999999999972</v>
      </c>
      <c r="I8" s="62">
        <v>7.5999999999999943</v>
      </c>
      <c r="J8" s="62">
        <v>22.099999999999994</v>
      </c>
      <c r="K8" s="62">
        <v>3.2000000000000028</v>
      </c>
      <c r="L8" s="62">
        <v>2.9000000000000057</v>
      </c>
      <c r="M8" s="62">
        <v>1.9000000000000057</v>
      </c>
      <c r="N8" s="62">
        <v>-0.29999999999999716</v>
      </c>
      <c r="O8" s="62">
        <v>11.700000000000003</v>
      </c>
      <c r="P8" s="62">
        <v>45.900000000000006</v>
      </c>
      <c r="Q8" s="62">
        <v>9.4</v>
      </c>
      <c r="R8" s="62">
        <v>2.9</v>
      </c>
      <c r="S8" s="62">
        <v>6.1</v>
      </c>
      <c r="T8" s="62">
        <v>2.9</v>
      </c>
      <c r="U8" s="62">
        <v>-0.7</v>
      </c>
      <c r="V8" s="62">
        <v>2.9</v>
      </c>
      <c r="W8" s="62">
        <v>16.099999999999994</v>
      </c>
      <c r="X8" s="162">
        <v>12.7</v>
      </c>
    </row>
    <row r="9" spans="1:24" ht="15.6">
      <c r="A9" s="147"/>
      <c r="B9" s="52" t="str">
        <f>IF('0'!A1=1,"Охорона здоров’я","Health")</f>
        <v>Охорона здоров’я</v>
      </c>
      <c r="C9" s="62">
        <v>3.5999999999999943</v>
      </c>
      <c r="D9" s="62">
        <v>3.9000000000000057</v>
      </c>
      <c r="E9" s="62">
        <v>5.2999999999999972</v>
      </c>
      <c r="F9" s="62">
        <v>9.7000000000000028</v>
      </c>
      <c r="G9" s="62">
        <v>6.2999999999999972</v>
      </c>
      <c r="H9" s="62">
        <v>10.200000000000003</v>
      </c>
      <c r="I9" s="62">
        <v>19</v>
      </c>
      <c r="J9" s="62">
        <v>31.5</v>
      </c>
      <c r="K9" s="62">
        <v>7.9000000000000057</v>
      </c>
      <c r="L9" s="62">
        <v>6.7000000000000028</v>
      </c>
      <c r="M9" s="62">
        <v>3.7000000000000028</v>
      </c>
      <c r="N9" s="62">
        <v>2.2999999999999972</v>
      </c>
      <c r="O9" s="62">
        <v>16.5</v>
      </c>
      <c r="P9" s="62">
        <v>37.599999999999994</v>
      </c>
      <c r="Q9" s="62">
        <v>11.7</v>
      </c>
      <c r="R9" s="62">
        <v>6.2</v>
      </c>
      <c r="S9" s="62">
        <v>8.8000000000000007</v>
      </c>
      <c r="T9" s="62">
        <v>6.7</v>
      </c>
      <c r="U9" s="62">
        <v>5.3</v>
      </c>
      <c r="V9" s="62">
        <v>6.6</v>
      </c>
      <c r="W9" s="62">
        <v>14.5</v>
      </c>
      <c r="X9" s="162">
        <v>12.8</v>
      </c>
    </row>
    <row r="10" spans="1:24" ht="15.6">
      <c r="A10" s="147"/>
      <c r="B10" s="52" t="str">
        <f>IF('0'!A1=1,"Транспорт","Transport")</f>
        <v>Транспорт</v>
      </c>
      <c r="C10" s="62">
        <v>1.7000000000000028</v>
      </c>
      <c r="D10" s="62">
        <v>3.7000000000000028</v>
      </c>
      <c r="E10" s="62">
        <v>10.900000000000006</v>
      </c>
      <c r="F10" s="62">
        <v>20</v>
      </c>
      <c r="G10" s="62">
        <v>14.299999999999997</v>
      </c>
      <c r="H10" s="62">
        <v>9.5</v>
      </c>
      <c r="I10" s="62">
        <v>24.5</v>
      </c>
      <c r="J10" s="62">
        <v>20.700000000000003</v>
      </c>
      <c r="K10" s="62">
        <v>9.5999999999999943</v>
      </c>
      <c r="L10" s="62">
        <v>17.599999999999994</v>
      </c>
      <c r="M10" s="62">
        <v>8.2000000000000028</v>
      </c>
      <c r="N10" s="62">
        <v>2</v>
      </c>
      <c r="O10" s="62">
        <v>24.5</v>
      </c>
      <c r="P10" s="62">
        <v>36.800000000000011</v>
      </c>
      <c r="Q10" s="62">
        <v>6.5</v>
      </c>
      <c r="R10" s="62">
        <v>14.2</v>
      </c>
      <c r="S10" s="62">
        <v>15.7</v>
      </c>
      <c r="T10" s="62">
        <v>4.0999999999999996</v>
      </c>
      <c r="U10" s="62">
        <v>-1.9</v>
      </c>
      <c r="V10" s="62">
        <v>10</v>
      </c>
      <c r="W10" s="62">
        <v>31.800000000000011</v>
      </c>
      <c r="X10" s="162">
        <v>12.1</v>
      </c>
    </row>
    <row r="11" spans="1:24" ht="15.6">
      <c r="A11" s="147"/>
      <c r="B11" s="52" t="str">
        <f>IF('0'!A1=1,"Зв’язок","Communication")</f>
        <v>Зв’язок</v>
      </c>
      <c r="C11" s="62">
        <v>4.4000000000000057</v>
      </c>
      <c r="D11" s="62">
        <v>4.7999999999999972</v>
      </c>
      <c r="E11" s="62">
        <v>0</v>
      </c>
      <c r="F11" s="62">
        <v>0.70000000000000284</v>
      </c>
      <c r="G11" s="62">
        <v>8.5</v>
      </c>
      <c r="H11" s="62">
        <v>10.400000000000006</v>
      </c>
      <c r="I11" s="62">
        <v>0.40000000000000568</v>
      </c>
      <c r="J11" s="62">
        <v>7.0999999999999943</v>
      </c>
      <c r="K11" s="62">
        <v>-6.4000000000000057</v>
      </c>
      <c r="L11" s="62">
        <v>0.59999999999999432</v>
      </c>
      <c r="M11" s="62">
        <v>2</v>
      </c>
      <c r="N11" s="62">
        <v>1.2000000000000028</v>
      </c>
      <c r="O11" s="62">
        <v>0.90000000000000568</v>
      </c>
      <c r="P11" s="62">
        <v>5.9000000000000057</v>
      </c>
      <c r="Q11" s="62">
        <v>3.9</v>
      </c>
      <c r="R11" s="62">
        <v>8.6999999999999993</v>
      </c>
      <c r="S11" s="62">
        <v>11</v>
      </c>
      <c r="T11" s="62">
        <v>15.5</v>
      </c>
      <c r="U11" s="62">
        <v>6.5</v>
      </c>
      <c r="V11" s="62">
        <v>5.2</v>
      </c>
      <c r="W11" s="62">
        <v>10.900000000000006</v>
      </c>
      <c r="X11" s="162">
        <v>7.8</v>
      </c>
    </row>
    <row r="12" spans="1:24" ht="15.6">
      <c r="A12" s="147"/>
      <c r="B12" s="52" t="str">
        <f>IF('0'!A1=1,"Відпочинок і культура","Recreation and culture")</f>
        <v>Відпочинок і культура</v>
      </c>
      <c r="C12" s="62">
        <v>2.2000000000000028</v>
      </c>
      <c r="D12" s="62">
        <v>2.0999999999999943</v>
      </c>
      <c r="E12" s="62">
        <v>2.7999999999999972</v>
      </c>
      <c r="F12" s="62">
        <v>3.9000000000000057</v>
      </c>
      <c r="G12" s="62">
        <v>3.0999999999999943</v>
      </c>
      <c r="H12" s="62">
        <v>4.4000000000000057</v>
      </c>
      <c r="I12" s="62">
        <v>8.4000000000000057</v>
      </c>
      <c r="J12" s="62">
        <v>19.700000000000003</v>
      </c>
      <c r="K12" s="62">
        <v>4</v>
      </c>
      <c r="L12" s="62">
        <v>3.7000000000000028</v>
      </c>
      <c r="M12" s="62">
        <v>1.5</v>
      </c>
      <c r="N12" s="62">
        <v>-0.29999999999999716</v>
      </c>
      <c r="O12" s="62">
        <v>10.700000000000003</v>
      </c>
      <c r="P12" s="62">
        <v>42.699999999999989</v>
      </c>
      <c r="Q12" s="62">
        <v>12.2</v>
      </c>
      <c r="R12" s="62">
        <v>4.3</v>
      </c>
      <c r="S12" s="62">
        <v>4.4000000000000004</v>
      </c>
      <c r="T12" s="62">
        <v>2.4</v>
      </c>
      <c r="U12" s="62">
        <v>-1.8</v>
      </c>
      <c r="V12" s="62">
        <v>3.3</v>
      </c>
      <c r="W12" s="62">
        <v>10.900000000000006</v>
      </c>
      <c r="X12" s="162">
        <v>7.3</v>
      </c>
    </row>
    <row r="13" spans="1:24" ht="15.6">
      <c r="A13" s="147"/>
      <c r="B13" s="52" t="str">
        <f>IF('0'!A1=1,"Освіта","Education")</f>
        <v>Освіта</v>
      </c>
      <c r="C13" s="62">
        <v>7.2000000000000028</v>
      </c>
      <c r="D13" s="62">
        <v>6.5999999999999943</v>
      </c>
      <c r="E13" s="62">
        <v>8.0999999999999943</v>
      </c>
      <c r="F13" s="62">
        <v>13.099999999999994</v>
      </c>
      <c r="G13" s="62">
        <v>17</v>
      </c>
      <c r="H13" s="62">
        <v>15.5</v>
      </c>
      <c r="I13" s="62">
        <v>22.099999999999994</v>
      </c>
      <c r="J13" s="62">
        <v>22.299999999999997</v>
      </c>
      <c r="K13" s="62">
        <v>13.099999999999994</v>
      </c>
      <c r="L13" s="62">
        <v>8.9000000000000057</v>
      </c>
      <c r="M13" s="62">
        <v>5.0999999999999943</v>
      </c>
      <c r="N13" s="62">
        <v>3.4000000000000057</v>
      </c>
      <c r="O13" s="62">
        <v>3.2000000000000028</v>
      </c>
      <c r="P13" s="62">
        <v>17.900000000000006</v>
      </c>
      <c r="Q13" s="62">
        <v>16.5</v>
      </c>
      <c r="R13" s="62">
        <v>11.9</v>
      </c>
      <c r="S13" s="62">
        <v>14.6</v>
      </c>
      <c r="T13" s="62">
        <v>13.4</v>
      </c>
      <c r="U13" s="62">
        <v>13.6</v>
      </c>
      <c r="V13" s="62">
        <v>15.3</v>
      </c>
      <c r="W13" s="62">
        <v>14.099999999999994</v>
      </c>
      <c r="X13" s="162">
        <v>10.7</v>
      </c>
    </row>
    <row r="14" spans="1:24" ht="15.6">
      <c r="A14" s="147"/>
      <c r="B14" s="52" t="str">
        <f>IF('0'!A1=1,"Ресторани та готелі","Restaurants and hotels")</f>
        <v>Ресторани та готелі</v>
      </c>
      <c r="C14" s="62">
        <v>9.2000000000000028</v>
      </c>
      <c r="D14" s="62">
        <v>8.4000000000000057</v>
      </c>
      <c r="E14" s="62">
        <v>9.2000000000000028</v>
      </c>
      <c r="F14" s="62">
        <v>17.5</v>
      </c>
      <c r="G14" s="62">
        <v>16.400000000000006</v>
      </c>
      <c r="H14" s="62">
        <v>12.700000000000003</v>
      </c>
      <c r="I14" s="62">
        <v>28.400000000000006</v>
      </c>
      <c r="J14" s="62">
        <v>16.299999999999997</v>
      </c>
      <c r="K14" s="62">
        <v>7.4000000000000057</v>
      </c>
      <c r="L14" s="62">
        <v>7.7999999999999972</v>
      </c>
      <c r="M14" s="62">
        <v>4.5999999999999943</v>
      </c>
      <c r="N14" s="62">
        <v>1.9000000000000057</v>
      </c>
      <c r="O14" s="62">
        <v>6.7000000000000028</v>
      </c>
      <c r="P14" s="62">
        <v>24.299999999999997</v>
      </c>
      <c r="Q14" s="62">
        <v>13.1</v>
      </c>
      <c r="R14" s="62">
        <v>13.6</v>
      </c>
      <c r="S14" s="62">
        <v>15.3</v>
      </c>
      <c r="T14" s="62">
        <v>11.1</v>
      </c>
      <c r="U14" s="62">
        <v>5.9</v>
      </c>
      <c r="V14" s="62">
        <v>6.1</v>
      </c>
      <c r="W14" s="62">
        <v>16.099999999999994</v>
      </c>
      <c r="X14" s="162">
        <v>18.5</v>
      </c>
    </row>
    <row r="15" spans="1:24" ht="14.4" thickBot="1">
      <c r="A15" s="148"/>
      <c r="B15" s="53" t="str">
        <f>IF('0'!A1=1,"Різні товари та послуги","Miscellaneous goods and services")</f>
        <v>Різні товари та послуги</v>
      </c>
      <c r="C15" s="63">
        <v>1.7999999999999972</v>
      </c>
      <c r="D15" s="63">
        <v>2.7999999999999972</v>
      </c>
      <c r="E15" s="63">
        <v>5.5999999999999943</v>
      </c>
      <c r="F15" s="63">
        <v>6.2000000000000028</v>
      </c>
      <c r="G15" s="63">
        <v>6</v>
      </c>
      <c r="H15" s="63">
        <v>8.0999999999999943</v>
      </c>
      <c r="I15" s="63">
        <v>22.799999999999997</v>
      </c>
      <c r="J15" s="63">
        <v>27.700000000000003</v>
      </c>
      <c r="K15" s="63">
        <v>9.2000000000000028</v>
      </c>
      <c r="L15" s="63">
        <v>7.2999999999999972</v>
      </c>
      <c r="M15" s="63">
        <v>3.5999999999999943</v>
      </c>
      <c r="N15" s="63">
        <v>2</v>
      </c>
      <c r="O15" s="63">
        <v>11.400000000000006</v>
      </c>
      <c r="P15" s="63">
        <v>38.599999999999994</v>
      </c>
      <c r="Q15" s="63">
        <v>10.3</v>
      </c>
      <c r="R15" s="63">
        <v>5.4</v>
      </c>
      <c r="S15" s="63">
        <v>9.5</v>
      </c>
      <c r="T15" s="63">
        <v>9.8000000000000007</v>
      </c>
      <c r="U15" s="63">
        <v>6.4</v>
      </c>
      <c r="V15" s="63">
        <v>6.5</v>
      </c>
      <c r="W15" s="63">
        <v>14</v>
      </c>
      <c r="X15" s="163">
        <v>15.6</v>
      </c>
    </row>
    <row r="16" spans="1:24" ht="13.8" thickTop="1"/>
    <row r="17" spans="1:2" ht="70.5" customHeight="1">
      <c r="A17" s="157" t="str">
        <f>'1'!A44:B44</f>
        <v>* Починаючи з  2014 року дані наведено без урахування тимчасово окупованої території Автономної Республіки Крим, м. Севастополя. Починаючи з 2015 року також без частини тимчасово окупованих територій у Донецькій та Луганській областях.</v>
      </c>
      <c r="B17" s="157"/>
    </row>
  </sheetData>
  <mergeCells count="4">
    <mergeCell ref="A4:A15"/>
    <mergeCell ref="A3:B3"/>
    <mergeCell ref="A2:B2"/>
    <mergeCell ref="A17:B17"/>
  </mergeCells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showRowColHeaders="0" workbookViewId="0">
      <selection activeCell="N3" sqref="N3"/>
    </sheetView>
  </sheetViews>
  <sheetFormatPr defaultRowHeight="13.2"/>
  <cols>
    <col min="1" max="1" width="7.33203125" customWidth="1"/>
    <col min="2" max="2" width="48.33203125" customWidth="1"/>
    <col min="3" max="9" width="12.77734375" customWidth="1"/>
    <col min="10" max="13" width="10.77734375" customWidth="1"/>
    <col min="14" max="14" width="10.44140625" bestFit="1" customWidth="1"/>
  </cols>
  <sheetData>
    <row r="1" spans="1:14" ht="14.4">
      <c r="A1" s="49" t="str">
        <f>IF('0'!A1=1,"до змісту","to title")</f>
        <v>до змісту</v>
      </c>
      <c r="B1" s="68"/>
    </row>
    <row r="2" spans="1:14" ht="15.6">
      <c r="A2" s="155"/>
      <c r="B2" s="156"/>
      <c r="C2" s="47">
        <v>40179</v>
      </c>
      <c r="D2" s="42">
        <v>40544</v>
      </c>
      <c r="E2" s="42">
        <v>40909</v>
      </c>
      <c r="F2" s="42">
        <v>41275</v>
      </c>
      <c r="G2" s="42">
        <v>41640</v>
      </c>
      <c r="H2" s="47">
        <v>42005</v>
      </c>
      <c r="I2" s="47">
        <v>42370</v>
      </c>
      <c r="J2" s="47">
        <v>42736</v>
      </c>
      <c r="K2" s="47">
        <v>43101</v>
      </c>
      <c r="L2" s="47">
        <v>43466</v>
      </c>
      <c r="M2" s="47">
        <v>43831</v>
      </c>
      <c r="N2" s="47">
        <v>44197</v>
      </c>
    </row>
    <row r="3" spans="1:14" ht="36" customHeight="1">
      <c r="A3" s="154" t="str">
        <f>IF('0'!A1=1,"Індекс споживчих цін (вагова структура для розрахунку ІСЦ, %)","Consumer price indices (year to the previous year , %)")</f>
        <v>Індекс споживчих цін (вагова структура для розрахунку ІСЦ, %)</v>
      </c>
      <c r="B3" s="158"/>
      <c r="C3" s="60">
        <v>100</v>
      </c>
      <c r="D3" s="60">
        <v>100</v>
      </c>
      <c r="E3" s="60">
        <v>100</v>
      </c>
      <c r="F3" s="60">
        <v>100</v>
      </c>
      <c r="G3" s="118">
        <v>100</v>
      </c>
      <c r="H3" s="60">
        <v>100</v>
      </c>
      <c r="I3" s="60">
        <v>100</v>
      </c>
      <c r="J3" s="60">
        <v>100</v>
      </c>
      <c r="K3" s="60">
        <v>100</v>
      </c>
      <c r="L3" s="60">
        <v>100</v>
      </c>
      <c r="M3" s="60">
        <v>100</v>
      </c>
      <c r="N3" s="60">
        <v>100</v>
      </c>
    </row>
    <row r="4" spans="1:14" ht="31.5" customHeight="1">
      <c r="A4" s="147" t="str">
        <f>IF('0'!A1=1,"ТОВАРНІ ГРУПИ*","PRODUCTS GROUPS*")</f>
        <v>ТОВАРНІ ГРУПИ*</v>
      </c>
      <c r="B4" s="69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71">
        <v>53.46247920506314</v>
      </c>
      <c r="D4" s="71">
        <v>53.568383384693874</v>
      </c>
      <c r="E4" s="71">
        <v>52.723421143510542</v>
      </c>
      <c r="F4" s="71">
        <v>50.784417606816866</v>
      </c>
      <c r="G4" s="119">
        <v>50.690187539935515</v>
      </c>
      <c r="H4" s="71">
        <v>41.801016808485329</v>
      </c>
      <c r="I4" s="71">
        <v>42.567670790412294</v>
      </c>
      <c r="J4" s="71">
        <v>45.395677967394114</v>
      </c>
      <c r="K4" s="71">
        <v>44.737942406218714</v>
      </c>
      <c r="L4" s="71">
        <v>43.327727663637248</v>
      </c>
      <c r="M4" s="71">
        <v>43.555185732466398</v>
      </c>
      <c r="N4" s="71">
        <v>0.43407760586437677</v>
      </c>
    </row>
    <row r="5" spans="1:14" ht="15.6">
      <c r="A5" s="147"/>
      <c r="B5" s="69" t="str">
        <f>IF('0'!A1=1,"Алкогольні напої, тютюнові вироби","Alcoholic beverages, tobacco")</f>
        <v>Алкогольні напої, тютюнові вироби</v>
      </c>
      <c r="C5" s="71">
        <v>4.8039593791705224</v>
      </c>
      <c r="D5" s="71">
        <v>5.0016416448286236</v>
      </c>
      <c r="E5" s="71">
        <v>4.9722741159381707</v>
      </c>
      <c r="F5" s="71">
        <v>6.2551598393737144</v>
      </c>
      <c r="G5" s="119">
        <v>6.860353040764239</v>
      </c>
      <c r="H5" s="71">
        <v>7.8962016328139137</v>
      </c>
      <c r="I5" s="71">
        <v>8.2970375127827811</v>
      </c>
      <c r="J5" s="71">
        <v>8.3161763584511448</v>
      </c>
      <c r="K5" s="71">
        <v>8.102290795595076</v>
      </c>
      <c r="L5" s="71">
        <v>7.8538778910156202</v>
      </c>
      <c r="M5" s="71">
        <v>8.2030630245624589</v>
      </c>
      <c r="N5" s="71">
        <v>7.9299582977509026E-2</v>
      </c>
    </row>
    <row r="6" spans="1:14" ht="15.6">
      <c r="A6" s="147"/>
      <c r="B6" s="69" t="str">
        <f>IF('0'!A1=1,"Одяг і взуття","Clothing and footwear")</f>
        <v>Одяг і взуття</v>
      </c>
      <c r="C6" s="71">
        <v>7.033177704070213</v>
      </c>
      <c r="D6" s="71">
        <v>7.4506273666304796</v>
      </c>
      <c r="E6" s="71">
        <v>7.0583822349956113</v>
      </c>
      <c r="F6" s="71">
        <v>7.275738120382587</v>
      </c>
      <c r="G6" s="119">
        <v>7.0219097526648486</v>
      </c>
      <c r="H6" s="71">
        <v>5.3983105252118211</v>
      </c>
      <c r="I6" s="71">
        <v>5.6008062504676621</v>
      </c>
      <c r="J6" s="71">
        <v>5.2713547147366988</v>
      </c>
      <c r="K6" s="71">
        <v>5.291747639518678</v>
      </c>
      <c r="L6" s="71">
        <v>5.1582778511805563</v>
      </c>
      <c r="M6" s="71">
        <v>4.9937799625478752</v>
      </c>
      <c r="N6" s="71">
        <v>4.7811645615382876E-2</v>
      </c>
    </row>
    <row r="7" spans="1:14" ht="31.2">
      <c r="A7" s="147"/>
      <c r="B7" s="69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71">
        <v>11.046527476044494</v>
      </c>
      <c r="D7" s="71">
        <v>10.609267216502417</v>
      </c>
      <c r="E7" s="71">
        <v>11.443926913433822</v>
      </c>
      <c r="F7" s="71">
        <v>11.448255474646217</v>
      </c>
      <c r="G7" s="119">
        <v>11.072536040830391</v>
      </c>
      <c r="H7" s="71">
        <v>7.4978502463930896</v>
      </c>
      <c r="I7" s="71">
        <v>6.1393198313920125</v>
      </c>
      <c r="J7" s="71">
        <v>4.8744719464397361</v>
      </c>
      <c r="K7" s="71">
        <v>5.4212060538248643</v>
      </c>
      <c r="L7" s="71">
        <v>7.7977136770142401</v>
      </c>
      <c r="M7" s="71">
        <v>8.4424053926839093</v>
      </c>
      <c r="N7" s="71">
        <v>8.6708054232423865E-2</v>
      </c>
    </row>
    <row r="8" spans="1:14" ht="32.25" customHeight="1">
      <c r="A8" s="147"/>
      <c r="B8" s="69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72">
        <v>2.458281133002973</v>
      </c>
      <c r="D8" s="72">
        <v>2.6344837007465771</v>
      </c>
      <c r="E8" s="72">
        <v>2.5608622391223821</v>
      </c>
      <c r="F8" s="72">
        <v>2.6140245318692119</v>
      </c>
      <c r="G8" s="120">
        <v>2.6292675314083329</v>
      </c>
      <c r="H8" s="71">
        <v>4.7441679704419091</v>
      </c>
      <c r="I8" s="71">
        <v>4.6084260344698578</v>
      </c>
      <c r="J8" s="71">
        <v>4.5305394152902956</v>
      </c>
      <c r="K8" s="71">
        <v>4.4525744459493941</v>
      </c>
      <c r="L8" s="71">
        <v>4.1812301857854139</v>
      </c>
      <c r="M8" s="71">
        <v>4.4788038232974223</v>
      </c>
      <c r="N8" s="71">
        <v>4.0890985127033541E-2</v>
      </c>
    </row>
    <row r="9" spans="1:14" ht="15.6">
      <c r="A9" s="147"/>
      <c r="B9" s="69" t="str">
        <f>IF('0'!A1=1,"Охорона здоров’я","Health")</f>
        <v>Охорона здоров’я</v>
      </c>
      <c r="C9" s="71">
        <v>3.6627830767266154</v>
      </c>
      <c r="D9" s="71">
        <v>3.6372574428310029</v>
      </c>
      <c r="E9" s="71">
        <v>3.6433748389238469</v>
      </c>
      <c r="F9" s="71">
        <v>3.8062507338510936</v>
      </c>
      <c r="G9" s="119">
        <v>3.7896150893887546</v>
      </c>
      <c r="H9" s="71">
        <v>6.6585610135032685</v>
      </c>
      <c r="I9" s="71">
        <v>6.6705846407103477</v>
      </c>
      <c r="J9" s="71">
        <v>6.5112320995562065</v>
      </c>
      <c r="K9" s="71">
        <v>6.5220442455293171</v>
      </c>
      <c r="L9" s="71">
        <v>6.5730273882188994</v>
      </c>
      <c r="M9" s="71">
        <v>7.1617673272606472</v>
      </c>
      <c r="N9" s="71">
        <v>7.0057178479002322E-2</v>
      </c>
    </row>
    <row r="10" spans="1:14" ht="15.6">
      <c r="A10" s="147"/>
      <c r="B10" s="69" t="str">
        <f>IF('0'!A1=1,"Транспорт","Transport")</f>
        <v>Транспорт</v>
      </c>
      <c r="C10" s="71">
        <v>4.685998106381227</v>
      </c>
      <c r="D10" s="71">
        <v>4.3609761678253083</v>
      </c>
      <c r="E10" s="71">
        <v>4.7057136667825423</v>
      </c>
      <c r="F10" s="71">
        <v>4.8695869894543637</v>
      </c>
      <c r="G10" s="119">
        <v>4.9338094713724425</v>
      </c>
      <c r="H10" s="71">
        <v>12.119252984457304</v>
      </c>
      <c r="I10" s="71">
        <v>11.825162746614122</v>
      </c>
      <c r="J10" s="71">
        <v>11.393268365588446</v>
      </c>
      <c r="K10" s="71">
        <v>11.217488173056161</v>
      </c>
      <c r="L10" s="71">
        <v>10.567943982546758</v>
      </c>
      <c r="M10" s="71">
        <v>9.2507276181345475</v>
      </c>
      <c r="N10" s="71">
        <v>9.7629010626288981E-2</v>
      </c>
    </row>
    <row r="11" spans="1:14" ht="15.6">
      <c r="A11" s="147"/>
      <c r="B11" s="69" t="str">
        <f>IF('0'!A1=1,"Зв’язок","Communication")</f>
        <v>Зв’язок</v>
      </c>
      <c r="C11" s="71">
        <v>3.1816784254043462</v>
      </c>
      <c r="D11" s="71">
        <v>3.2996899277101956</v>
      </c>
      <c r="E11" s="71">
        <v>3.1873835115891187</v>
      </c>
      <c r="F11" s="71">
        <v>3.2849461194054173</v>
      </c>
      <c r="G11" s="119">
        <v>3.3775201822990715</v>
      </c>
      <c r="H11" s="71">
        <v>3.1714654373193598</v>
      </c>
      <c r="I11" s="71">
        <v>3.1398872621155816</v>
      </c>
      <c r="J11" s="71">
        <v>3.065440514861753</v>
      </c>
      <c r="K11" s="71">
        <v>2.8791492452348701</v>
      </c>
      <c r="L11" s="71">
        <v>2.9425935609926026</v>
      </c>
      <c r="M11" s="71">
        <v>2.9698653223396385</v>
      </c>
      <c r="N11" s="71">
        <v>2.9017931069491059E-2</v>
      </c>
    </row>
    <row r="12" spans="1:14" ht="15.6">
      <c r="A12" s="147"/>
      <c r="B12" s="69" t="str">
        <f>IF('0'!A1=1,"Відпочинок і культура","Recreation and culture")</f>
        <v>Відпочинок і культура</v>
      </c>
      <c r="C12" s="71">
        <v>2.1073507609158004</v>
      </c>
      <c r="D12" s="71">
        <v>2.132863262350698</v>
      </c>
      <c r="E12" s="71">
        <v>2.2769446907705908</v>
      </c>
      <c r="F12" s="71">
        <v>2.281643643863188</v>
      </c>
      <c r="G12" s="119">
        <v>2.3610187335070476</v>
      </c>
      <c r="H12" s="71">
        <v>3.2003406916803852</v>
      </c>
      <c r="I12" s="71">
        <v>3.3270302795999305</v>
      </c>
      <c r="J12" s="71">
        <v>2.9974226411065872</v>
      </c>
      <c r="K12" s="71">
        <v>3.1943054001531119</v>
      </c>
      <c r="L12" s="71">
        <v>3.2405904782102604</v>
      </c>
      <c r="M12" s="71">
        <v>3.2585383722231707</v>
      </c>
      <c r="N12" s="71">
        <v>3.5617924074235141E-2</v>
      </c>
    </row>
    <row r="13" spans="1:14" ht="15.6">
      <c r="A13" s="147"/>
      <c r="B13" s="69" t="str">
        <f>IF('0'!A1=1,"Освіта","Education")</f>
        <v>Освіта</v>
      </c>
      <c r="C13" s="71">
        <v>1.7553846248223752</v>
      </c>
      <c r="D13" s="71">
        <v>1.6792764726451981</v>
      </c>
      <c r="E13" s="71">
        <v>1.6573081630304842</v>
      </c>
      <c r="F13" s="71">
        <v>1.5707555303867107</v>
      </c>
      <c r="G13" s="119">
        <v>1.4312516546237721</v>
      </c>
      <c r="H13" s="71">
        <v>1.5868677522430534</v>
      </c>
      <c r="I13" s="71">
        <v>1.5068871124635224</v>
      </c>
      <c r="J13" s="71">
        <v>1.316374616827561</v>
      </c>
      <c r="K13" s="71">
        <v>1.3673615609602889</v>
      </c>
      <c r="L13" s="71">
        <v>1.3950335997471199</v>
      </c>
      <c r="M13" s="71">
        <v>1.3824650341941895</v>
      </c>
      <c r="N13" s="71">
        <v>1.3460605721066957E-2</v>
      </c>
    </row>
    <row r="14" spans="1:14" ht="15.6">
      <c r="A14" s="147"/>
      <c r="B14" s="69" t="str">
        <f>IF('0'!A1=1,"Ресторани та готелі","Restaurants and hotels")</f>
        <v>Ресторани та готелі</v>
      </c>
      <c r="C14" s="71">
        <v>3.0252502339644889</v>
      </c>
      <c r="D14" s="71">
        <v>2.8976756859930468</v>
      </c>
      <c r="E14" s="71">
        <v>2.9606472053677604</v>
      </c>
      <c r="F14" s="71">
        <v>2.8729540535007128</v>
      </c>
      <c r="G14" s="119">
        <v>2.8649567812954762</v>
      </c>
      <c r="H14" s="71">
        <v>2.2081397344384626</v>
      </c>
      <c r="I14" s="71">
        <v>2.5132972089891004</v>
      </c>
      <c r="J14" s="71">
        <v>2.5443564990620855</v>
      </c>
      <c r="K14" s="71">
        <v>2.8848418821035273</v>
      </c>
      <c r="L14" s="71">
        <v>3.0764119574538937</v>
      </c>
      <c r="M14" s="71">
        <v>2.4198414107142923</v>
      </c>
      <c r="N14" s="71">
        <v>2.68617827193036E-2</v>
      </c>
    </row>
    <row r="15" spans="1:14" ht="16.2" thickBot="1">
      <c r="A15" s="148"/>
      <c r="B15" s="70" t="str">
        <f>IF('0'!A1=1,"Різні товари та послуги","Miscellaneous goods and services")</f>
        <v>Різні товари та послуги</v>
      </c>
      <c r="C15" s="73">
        <v>2.7771298744337871</v>
      </c>
      <c r="D15" s="73">
        <v>2.727857727242565</v>
      </c>
      <c r="E15" s="73">
        <v>2.8097612765351174</v>
      </c>
      <c r="F15" s="73">
        <v>2.9362673564499224</v>
      </c>
      <c r="G15" s="121">
        <v>2.9675741819101029</v>
      </c>
      <c r="H15" s="73">
        <v>3.7178252030121066</v>
      </c>
      <c r="I15" s="73">
        <v>3.8038903299827895</v>
      </c>
      <c r="J15" s="73">
        <v>3.7836848606853635</v>
      </c>
      <c r="K15" s="73">
        <v>3.9290481518559961</v>
      </c>
      <c r="L15" s="73">
        <v>3.8855717641973904</v>
      </c>
      <c r="M15" s="73">
        <v>3.8835569795754394</v>
      </c>
      <c r="N15" s="73">
        <v>3.8567693493885807E-2</v>
      </c>
    </row>
    <row r="16" spans="1:14" ht="13.8" thickTop="1"/>
    <row r="17" spans="1:10" ht="41.25" customHeight="1">
      <c r="A17" s="157" t="str">
        <f>'1'!A44:B44</f>
        <v>* Починаючи з  2014 року дані наведено без урахування тимчасово окупованої території Автономної Республіки Крим, м. Севастополя. Починаючи з 2015 року також без частини тимчасово окупованих територій у Донецькій та Луганській областях.</v>
      </c>
      <c r="B17" s="157"/>
      <c r="C17" s="157"/>
      <c r="D17" s="157"/>
      <c r="E17" s="157"/>
    </row>
    <row r="18" spans="1:10" ht="42.75" customHeight="1">
      <c r="A18" s="159" t="s">
        <v>4</v>
      </c>
      <c r="B18" s="157"/>
      <c r="C18" s="157"/>
      <c r="D18" s="157"/>
      <c r="E18" s="157"/>
      <c r="F18" s="157"/>
      <c r="G18" s="157"/>
      <c r="H18" s="157"/>
      <c r="I18" s="157"/>
      <c r="J18" s="48"/>
    </row>
  </sheetData>
  <mergeCells count="5">
    <mergeCell ref="A2:B2"/>
    <mergeCell ref="A3:B3"/>
    <mergeCell ref="A4:A15"/>
    <mergeCell ref="A18:I18"/>
    <mergeCell ref="A17:E17"/>
  </mergeCells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0</vt:lpstr>
      <vt:lpstr>1</vt:lpstr>
      <vt:lpstr>2</vt:lpstr>
      <vt:lpstr>3</vt:lpstr>
      <vt:lpstr>'0'!Область_друку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2015-10-07T12:48:41Z</cp:lastPrinted>
  <dcterms:created xsi:type="dcterms:W3CDTF">2008-08-15T07:59:50Z</dcterms:created>
  <dcterms:modified xsi:type="dcterms:W3CDTF">2024-01-19T11:46:51Z</dcterms:modified>
</cp:coreProperties>
</file>