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-108" yWindow="-108" windowWidth="23256" windowHeight="12576"/>
  </bookViews>
  <sheets>
    <sheet name="0" sheetId="1" r:id="rId1"/>
    <sheet name="1" sheetId="17" r:id="rId2"/>
    <sheet name="2" sheetId="19" r:id="rId3"/>
    <sheet name="3" sheetId="16" r:id="rId4"/>
    <sheet name="ОПП_2001-2023" sheetId="18" r:id="rId5"/>
  </sheets>
  <calcPr calcId="162913"/>
</workbook>
</file>

<file path=xl/calcChain.xml><?xml version="1.0" encoding="utf-8"?>
<calcChain xmlns="http://schemas.openxmlformats.org/spreadsheetml/2006/main">
  <c r="A2" i="16" l="1"/>
  <c r="A2" i="19" l="1"/>
  <c r="H18" i="1" l="1"/>
  <c r="A8" i="18" l="1"/>
  <c r="B19" i="19" l="1"/>
  <c r="A55" i="19" l="1"/>
  <c r="B18" i="19" l="1"/>
  <c r="A46" i="17"/>
  <c r="H16" i="1" l="1"/>
  <c r="A7" i="18" l="1"/>
  <c r="A5" i="18"/>
  <c r="A4" i="18"/>
  <c r="A49" i="16"/>
  <c r="A54" i="19"/>
  <c r="A1" i="19" l="1"/>
  <c r="H17" i="1"/>
  <c r="B23" i="19"/>
  <c r="B22" i="19"/>
  <c r="B20" i="19"/>
  <c r="B21" i="19"/>
  <c r="B16" i="19"/>
  <c r="B17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A26" i="19"/>
  <c r="B25" i="19"/>
  <c r="B24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A3" i="19"/>
  <c r="H15" i="1" l="1"/>
  <c r="A3" i="18"/>
  <c r="A12" i="18" l="1"/>
  <c r="A1" i="18" l="1"/>
  <c r="A3" i="16" l="1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A18" i="17"/>
  <c r="A1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A3" i="17"/>
  <c r="B2" i="17"/>
  <c r="A2" i="17"/>
  <c r="B41" i="16" l="1"/>
  <c r="B32" i="16" l="1"/>
  <c r="B25" i="16"/>
  <c r="D7" i="1" l="1"/>
  <c r="D15" i="1"/>
  <c r="B7" i="16" l="1"/>
  <c r="B6" i="16"/>
  <c r="B8" i="16"/>
  <c r="B11" i="16"/>
  <c r="B12" i="16"/>
  <c r="B13" i="16"/>
  <c r="B14" i="16"/>
  <c r="B15" i="16"/>
  <c r="B16" i="16"/>
  <c r="B10" i="16"/>
  <c r="B19" i="16" l="1"/>
  <c r="B18" i="16"/>
  <c r="B17" i="16"/>
  <c r="B6" i="1" l="1"/>
  <c r="B4" i="16" l="1"/>
  <c r="B9" i="16"/>
  <c r="B5" i="16"/>
  <c r="B3" i="16"/>
  <c r="B20" i="16" l="1"/>
  <c r="A21" i="16" l="1"/>
  <c r="B47" i="16" l="1"/>
  <c r="B46" i="16"/>
  <c r="B45" i="16"/>
  <c r="B44" i="16"/>
  <c r="B43" i="16"/>
  <c r="B42" i="16"/>
  <c r="B40" i="16"/>
  <c r="B39" i="16"/>
  <c r="B38" i="16"/>
  <c r="B37" i="16"/>
  <c r="B36" i="16"/>
  <c r="B35" i="16"/>
  <c r="B34" i="16"/>
  <c r="B33" i="16"/>
  <c r="B31" i="16"/>
  <c r="B30" i="16"/>
  <c r="B29" i="16"/>
  <c r="B28" i="16"/>
  <c r="B27" i="16"/>
  <c r="B26" i="16"/>
  <c r="B24" i="16"/>
  <c r="B23" i="16"/>
  <c r="B22" i="16"/>
  <c r="B21" i="16"/>
  <c r="A1" i="16" l="1"/>
</calcChain>
</file>

<file path=xl/sharedStrings.xml><?xml version="1.0" encoding="utf-8"?>
<sst xmlns="http://schemas.openxmlformats.org/spreadsheetml/2006/main" count="206" uniqueCount="11">
  <si>
    <t>…</t>
  </si>
  <si>
    <t>ENG</t>
  </si>
  <si>
    <t>УКР</t>
  </si>
  <si>
    <t>Обсяг реалізованої промислової продукції, млн.грн. (КВЕД-2005)</t>
  </si>
  <si>
    <t>Обсяг реалізованої промислової продукції, млн.грн. (КВЕД-2010)</t>
  </si>
  <si>
    <t>Індекси промислової продукції (до попереднього місяця, %), КВЕД-2010</t>
  </si>
  <si>
    <t>Індекси промислової продукції (до відповідного місяця попереднього року, %), КВЕД-2010</t>
  </si>
  <si>
    <t>Індекси промислової продукції (до відповідного періоду попереднього року, %), КВЕД-2010</t>
  </si>
  <si>
    <t>http://www.ukrstat.gov.ua/operativ/operativ2013/pr/orp_rik/orp_rik_u.htm</t>
  </si>
  <si>
    <t xml:space="preserve"> </t>
  </si>
  <si>
    <t>ОПП_2001-2023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</si>
</sst>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Verdana"/>
      <family val="2"/>
      <charset val="204"/>
    </font>
    <font>
      <b/>
      <sz val="9.5"/>
      <color rgb="FF000000"/>
      <name val="Verdana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ourier New"/>
      <family val="2"/>
      <charset val="204"/>
    </font>
    <font>
      <sz val="1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n">
        <color indexed="64"/>
      </right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6" tint="-0.499984740745262"/>
      </top>
      <bottom style="thin">
        <color indexed="64"/>
      </bottom>
      <diagonal/>
    </border>
    <border>
      <left/>
      <right/>
      <top/>
      <bottom style="thick">
        <color rgb="FF005B2B"/>
      </bottom>
      <diagonal/>
    </border>
    <border>
      <left/>
      <right/>
      <top style="thick">
        <color rgb="FF005B2B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ck">
        <color theme="6" tint="-0.499984740745262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/>
      <diagonal/>
    </border>
    <border>
      <left style="thick">
        <color rgb="FF005B2B"/>
      </left>
      <right/>
      <top/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n">
        <color indexed="64"/>
      </right>
      <top/>
      <bottom style="thin">
        <color theme="1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 style="thick">
        <color theme="6" tint="-0.499984740745262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theme="6" tint="-0.499984740745262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26" fillId="0" borderId="0"/>
    <xf numFmtId="0" fontId="27" fillId="0" borderId="0"/>
    <xf numFmtId="0" fontId="35" fillId="0" borderId="0"/>
    <xf numFmtId="0" fontId="36" fillId="0" borderId="0"/>
  </cellStyleXfs>
  <cellXfs count="111">
    <xf numFmtId="0" fontId="0" fillId="0" borderId="0" xfId="0"/>
    <xf numFmtId="0" fontId="0" fillId="0" borderId="0" xfId="0"/>
    <xf numFmtId="0" fontId="3" fillId="0" borderId="0" xfId="0" applyFont="1"/>
    <xf numFmtId="0" fontId="8" fillId="0" borderId="0" xfId="1" applyFont="1" applyFill="1" applyBorder="1"/>
    <xf numFmtId="0" fontId="7" fillId="0" borderId="0" xfId="1" applyFont="1" applyFill="1" applyBorder="1"/>
    <xf numFmtId="0" fontId="2" fillId="0" borderId="0" xfId="1" applyFont="1"/>
    <xf numFmtId="0" fontId="4" fillId="0" borderId="0" xfId="0" applyFont="1" applyBorder="1"/>
    <xf numFmtId="0" fontId="18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3" xfId="0" applyFont="1" applyBorder="1"/>
    <xf numFmtId="165" fontId="4" fillId="0" borderId="0" xfId="0" applyNumberFormat="1" applyFont="1" applyBorder="1" applyAlignment="1">
      <alignment horizontal="right" vertical="center" wrapText="1"/>
    </xf>
    <xf numFmtId="165" fontId="4" fillId="0" borderId="9" xfId="0" applyNumberFormat="1" applyFont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65" fontId="25" fillId="0" borderId="0" xfId="0" applyNumberFormat="1" applyFont="1" applyBorder="1" applyAlignment="1">
      <alignment horizontal="right" vertical="center" wrapText="1"/>
    </xf>
    <xf numFmtId="0" fontId="0" fillId="0" borderId="0" xfId="0" applyFill="1"/>
    <xf numFmtId="165" fontId="4" fillId="0" borderId="0" xfId="0" applyNumberFormat="1" applyFont="1" applyFill="1" applyBorder="1" applyAlignment="1">
      <alignment horizontal="right" vertical="center" wrapText="1"/>
    </xf>
    <xf numFmtId="165" fontId="4" fillId="0" borderId="4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3" fillId="0" borderId="0" xfId="0" applyFont="1" applyProtection="1">
      <protection hidden="1"/>
    </xf>
    <xf numFmtId="0" fontId="3" fillId="0" borderId="0" xfId="2" applyFont="1" applyProtection="1">
      <protection hidden="1"/>
    </xf>
    <xf numFmtId="0" fontId="9" fillId="0" borderId="0" xfId="2" applyFo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Fill="1" applyAlignment="1" applyProtection="1">
      <alignment horizontal="center" vertical="justify"/>
      <protection hidden="1"/>
    </xf>
    <xf numFmtId="0" fontId="3" fillId="0" borderId="9" xfId="0" applyFont="1" applyBorder="1" applyProtection="1">
      <protection hidden="1"/>
    </xf>
    <xf numFmtId="0" fontId="9" fillId="0" borderId="15" xfId="2" applyFont="1" applyBorder="1" applyProtection="1">
      <protection hidden="1"/>
    </xf>
    <xf numFmtId="0" fontId="19" fillId="5" borderId="19" xfId="0" applyFont="1" applyFill="1" applyBorder="1" applyAlignment="1" applyProtection="1">
      <alignment horizontal="center" vertical="center" wrapText="1"/>
      <protection hidden="1"/>
    </xf>
    <xf numFmtId="0" fontId="12" fillId="0" borderId="14" xfId="1" applyFont="1" applyFill="1" applyBorder="1" applyAlignment="1" applyProtection="1">
      <alignment horizontal="center" vertical="center"/>
      <protection hidden="1"/>
    </xf>
    <xf numFmtId="0" fontId="12" fillId="0" borderId="17" xfId="1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12" fillId="0" borderId="18" xfId="1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20" fillId="0" borderId="9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Border="1" applyProtection="1">
      <protection hidden="1"/>
    </xf>
    <xf numFmtId="0" fontId="3" fillId="0" borderId="16" xfId="0" applyFont="1" applyBorder="1" applyProtection="1">
      <protection hidden="1"/>
    </xf>
    <xf numFmtId="0" fontId="22" fillId="0" borderId="0" xfId="1" applyFont="1" applyFill="1" applyBorder="1" applyAlignment="1" applyProtection="1">
      <alignment vertical="center"/>
      <protection hidden="1"/>
    </xf>
    <xf numFmtId="0" fontId="24" fillId="3" borderId="0" xfId="0" applyFont="1" applyFill="1" applyBorder="1" applyAlignment="1" applyProtection="1">
      <alignment horizontal="left" vertical="center" wrapText="1"/>
      <protection hidden="1"/>
    </xf>
    <xf numFmtId="0" fontId="12" fillId="3" borderId="0" xfId="0" applyFont="1" applyFill="1" applyBorder="1" applyAlignment="1" applyProtection="1">
      <alignment horizontal="left" vertical="center" wrapText="1"/>
      <protection hidden="1"/>
    </xf>
    <xf numFmtId="0" fontId="17" fillId="3" borderId="0" xfId="0" applyFont="1" applyFill="1" applyBorder="1" applyAlignment="1" applyProtection="1">
      <alignment horizontal="left" vertical="center" wrapText="1"/>
      <protection hidden="1"/>
    </xf>
    <xf numFmtId="0" fontId="12" fillId="3" borderId="9" xfId="0" applyFont="1" applyFill="1" applyBorder="1" applyAlignment="1" applyProtection="1">
      <alignment horizontal="left" vertical="justify" wrapText="1"/>
      <protection hidden="1"/>
    </xf>
    <xf numFmtId="0" fontId="13" fillId="4" borderId="0" xfId="0" applyFont="1" applyFill="1" applyBorder="1" applyAlignment="1" applyProtection="1">
      <alignment vertical="center" wrapText="1"/>
      <protection hidden="1"/>
    </xf>
    <xf numFmtId="0" fontId="4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0" fillId="0" borderId="0" xfId="0" applyBorder="1" applyAlignment="1" applyProtection="1">
      <alignment horizontal="center" vertical="justify"/>
      <protection hidden="1"/>
    </xf>
    <xf numFmtId="0" fontId="13" fillId="4" borderId="13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6" borderId="0" xfId="0" applyFill="1" applyProtection="1">
      <protection hidden="1"/>
    </xf>
    <xf numFmtId="0" fontId="7" fillId="0" borderId="0" xfId="2" applyFont="1" applyFill="1" applyAlignment="1" applyProtection="1">
      <alignment horizontal="center"/>
      <protection locked="0"/>
    </xf>
    <xf numFmtId="164" fontId="5" fillId="0" borderId="0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0" fontId="12" fillId="7" borderId="9" xfId="0" applyFont="1" applyFill="1" applyBorder="1" applyAlignment="1" applyProtection="1">
      <alignment horizontal="left" vertical="justify" wrapText="1"/>
      <protection hidden="1"/>
    </xf>
    <xf numFmtId="0" fontId="12" fillId="3" borderId="9" xfId="0" applyFont="1" applyFill="1" applyBorder="1" applyAlignment="1" applyProtection="1">
      <alignment horizontal="left" vertical="center" wrapText="1"/>
      <protection hidden="1"/>
    </xf>
    <xf numFmtId="0" fontId="21" fillId="5" borderId="23" xfId="1" applyFont="1" applyFill="1" applyBorder="1" applyAlignment="1" applyProtection="1">
      <alignment horizontal="center" vertical="center" wrapText="1"/>
      <protection hidden="1"/>
    </xf>
    <xf numFmtId="0" fontId="12" fillId="5" borderId="14" xfId="1" applyFont="1" applyFill="1" applyBorder="1" applyAlignment="1" applyProtection="1">
      <alignment horizontal="center" vertical="center"/>
      <protection hidden="1"/>
    </xf>
    <xf numFmtId="0" fontId="21" fillId="0" borderId="14" xfId="1" applyFont="1" applyFill="1" applyBorder="1" applyAlignment="1" applyProtection="1">
      <alignment horizontal="center" vertical="center" wrapText="1"/>
      <protection hidden="1"/>
    </xf>
    <xf numFmtId="0" fontId="21" fillId="0" borderId="17" xfId="1" applyFont="1" applyFill="1" applyBorder="1" applyAlignment="1" applyProtection="1">
      <alignment horizontal="center" vertical="center" wrapText="1"/>
      <protection hidden="1"/>
    </xf>
    <xf numFmtId="0" fontId="21" fillId="0" borderId="18" xfId="1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Border="1" applyProtection="1">
      <protection hidden="1"/>
    </xf>
    <xf numFmtId="0" fontId="12" fillId="2" borderId="18" xfId="1" applyFont="1" applyFill="1" applyBorder="1" applyAlignment="1" applyProtection="1">
      <alignment horizontal="center" vertical="center"/>
      <protection hidden="1"/>
    </xf>
    <xf numFmtId="164" fontId="5" fillId="0" borderId="4" xfId="0" applyNumberFormat="1" applyFont="1" applyFill="1" applyBorder="1" applyAlignment="1">
      <alignment horizontal="right"/>
    </xf>
    <xf numFmtId="0" fontId="18" fillId="2" borderId="24" xfId="0" applyFont="1" applyFill="1" applyBorder="1" applyAlignment="1" applyProtection="1">
      <alignment horizontal="center" vertical="justify"/>
      <protection hidden="1"/>
    </xf>
    <xf numFmtId="0" fontId="28" fillId="5" borderId="16" xfId="1" applyFont="1" applyFill="1" applyBorder="1" applyAlignment="1" applyProtection="1">
      <alignment horizontal="center" vertical="center" wrapText="1"/>
      <protection hidden="1"/>
    </xf>
    <xf numFmtId="0" fontId="0" fillId="0" borderId="0" xfId="0" applyFont="1"/>
    <xf numFmtId="0" fontId="1" fillId="0" borderId="0" xfId="1"/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164" fontId="31" fillId="0" borderId="0" xfId="0" applyNumberFormat="1" applyFont="1" applyFill="1" applyAlignment="1">
      <alignment horizontal="right" vertical="center" wrapText="1"/>
    </xf>
    <xf numFmtId="0" fontId="31" fillId="0" borderId="0" xfId="0" applyFont="1" applyFill="1" applyAlignment="1">
      <alignment horizontal="right" vertical="center" wrapText="1"/>
    </xf>
    <xf numFmtId="0" fontId="32" fillId="0" borderId="0" xfId="0" applyFont="1" applyFill="1" applyAlignment="1">
      <alignment horizontal="right" vertical="center" wrapText="1"/>
    </xf>
    <xf numFmtId="0" fontId="34" fillId="0" borderId="0" xfId="0" applyFont="1" applyFill="1"/>
    <xf numFmtId="0" fontId="33" fillId="0" borderId="0" xfId="0" applyFont="1" applyFill="1"/>
    <xf numFmtId="0" fontId="1" fillId="5" borderId="25" xfId="1" quotePrefix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65" fontId="3" fillId="0" borderId="21" xfId="0" applyNumberFormat="1" applyFont="1" applyFill="1" applyBorder="1" applyAlignment="1">
      <alignment horizontal="center"/>
    </xf>
    <xf numFmtId="0" fontId="18" fillId="0" borderId="16" xfId="0" applyFont="1" applyFill="1" applyBorder="1" applyAlignment="1" applyProtection="1">
      <alignment horizontal="center" vertical="justify"/>
      <protection hidden="1"/>
    </xf>
    <xf numFmtId="0" fontId="3" fillId="0" borderId="0" xfId="0" applyFont="1" applyBorder="1"/>
    <xf numFmtId="0" fontId="1" fillId="5" borderId="16" xfId="1" applyFill="1" applyBorder="1" applyAlignment="1" applyProtection="1">
      <alignment horizontal="center" vertical="center" wrapText="1"/>
      <protection hidden="1"/>
    </xf>
    <xf numFmtId="165" fontId="3" fillId="0" borderId="1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0" fontId="24" fillId="3" borderId="9" xfId="0" applyFont="1" applyFill="1" applyBorder="1" applyAlignment="1" applyProtection="1">
      <alignment horizontal="left" vertical="center" wrapText="1"/>
      <protection hidden="1"/>
    </xf>
    <xf numFmtId="165" fontId="4" fillId="0" borderId="10" xfId="0" applyNumberFormat="1" applyFont="1" applyBorder="1" applyAlignment="1">
      <alignment horizontal="right" vertical="center" wrapText="1"/>
    </xf>
    <xf numFmtId="165" fontId="4" fillId="0" borderId="10" xfId="0" applyNumberFormat="1" applyFont="1" applyFill="1" applyBorder="1" applyAlignment="1">
      <alignment horizontal="right" vertical="center" wrapText="1"/>
    </xf>
    <xf numFmtId="165" fontId="25" fillId="0" borderId="9" xfId="0" applyNumberFormat="1" applyFont="1" applyBorder="1" applyAlignment="1">
      <alignment horizontal="right" vertical="center" wrapText="1"/>
    </xf>
    <xf numFmtId="165" fontId="37" fillId="0" borderId="0" xfId="0" applyNumberFormat="1" applyFont="1" applyFill="1" applyBorder="1" applyAlignment="1">
      <alignment horizontal="right" wrapText="1"/>
    </xf>
    <xf numFmtId="0" fontId="20" fillId="5" borderId="14" xfId="0" applyFont="1" applyFill="1" applyBorder="1" applyAlignment="1" applyProtection="1">
      <alignment horizontal="center" vertical="center" wrapText="1"/>
      <protection hidden="1"/>
    </xf>
    <xf numFmtId="0" fontId="20" fillId="5" borderId="17" xfId="0" applyFont="1" applyFill="1" applyBorder="1" applyAlignment="1" applyProtection="1">
      <alignment horizontal="center" vertical="center" wrapText="1"/>
      <protection hidden="1"/>
    </xf>
    <xf numFmtId="0" fontId="0" fillId="5" borderId="18" xfId="0" applyFill="1" applyBorder="1" applyAlignment="1" applyProtection="1">
      <alignment horizontal="center" vertical="center" wrapText="1"/>
      <protection hidden="1"/>
    </xf>
    <xf numFmtId="0" fontId="20" fillId="0" borderId="14" xfId="0" applyFont="1" applyFill="1" applyBorder="1" applyAlignment="1" applyProtection="1">
      <alignment horizontal="center" vertical="center" wrapText="1"/>
      <protection hidden="1"/>
    </xf>
    <xf numFmtId="0" fontId="20" fillId="0" borderId="17" xfId="0" applyFont="1" applyFill="1" applyBorder="1" applyAlignment="1" applyProtection="1">
      <alignment horizontal="center" vertical="center" wrapText="1"/>
      <protection hidden="1"/>
    </xf>
    <xf numFmtId="0" fontId="0" fillId="0" borderId="17" xfId="0" applyFill="1" applyBorder="1" applyAlignment="1" applyProtection="1">
      <alignment horizontal="center" vertical="center" wrapText="1"/>
      <protection hidden="1"/>
    </xf>
    <xf numFmtId="0" fontId="10" fillId="2" borderId="20" xfId="0" applyFont="1" applyFill="1" applyBorder="1" applyAlignment="1" applyProtection="1">
      <alignment horizontal="left" vertical="justify"/>
      <protection hidden="1"/>
    </xf>
    <xf numFmtId="0" fontId="10" fillId="2" borderId="21" xfId="0" applyFont="1" applyFill="1" applyBorder="1" applyAlignment="1" applyProtection="1">
      <alignment horizontal="left" vertical="justify"/>
      <protection hidden="1"/>
    </xf>
    <xf numFmtId="0" fontId="14" fillId="3" borderId="6" xfId="0" applyFont="1" applyFill="1" applyBorder="1" applyAlignment="1" applyProtection="1">
      <alignment horizontal="center" vertical="center" textRotation="90"/>
      <protection hidden="1"/>
    </xf>
    <xf numFmtId="0" fontId="15" fillId="3" borderId="6" xfId="0" applyFont="1" applyFill="1" applyBorder="1" applyAlignment="1" applyProtection="1">
      <alignment horizontal="center" vertical="center" textRotation="90"/>
      <protection hidden="1"/>
    </xf>
    <xf numFmtId="0" fontId="14" fillId="4" borderId="1" xfId="0" applyFont="1" applyFill="1" applyBorder="1" applyAlignment="1" applyProtection="1">
      <alignment horizontal="center" vertical="center" textRotation="90"/>
      <protection hidden="1"/>
    </xf>
    <xf numFmtId="0" fontId="16" fillId="4" borderId="1" xfId="0" applyFont="1" applyFill="1" applyBorder="1" applyAlignment="1" applyProtection="1"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0" fillId="0" borderId="0" xfId="0" applyAlignment="1"/>
    <xf numFmtId="0" fontId="10" fillId="2" borderId="7" xfId="0" applyFont="1" applyFill="1" applyBorder="1" applyAlignment="1" applyProtection="1">
      <alignment horizontal="left" vertical="justify"/>
      <protection hidden="1"/>
    </xf>
    <xf numFmtId="0" fontId="0" fillId="0" borderId="8" xfId="0" applyBorder="1" applyAlignment="1" applyProtection="1">
      <alignment horizontal="left" vertical="justify"/>
      <protection hidden="1"/>
    </xf>
    <xf numFmtId="0" fontId="14" fillId="3" borderId="5" xfId="0" applyFont="1" applyFill="1" applyBorder="1" applyAlignment="1" applyProtection="1">
      <alignment horizontal="center" vertical="center" textRotation="90"/>
      <protection hidden="1"/>
    </xf>
    <xf numFmtId="0" fontId="14" fillId="3" borderId="22" xfId="0" applyFont="1" applyFill="1" applyBorder="1" applyAlignment="1" applyProtection="1">
      <alignment horizontal="center" vertical="center" textRotation="90"/>
      <protection hidden="1"/>
    </xf>
    <xf numFmtId="0" fontId="14" fillId="4" borderId="12" xfId="0" applyFont="1" applyFill="1" applyBorder="1" applyAlignment="1" applyProtection="1">
      <alignment horizontal="center" vertical="center" textRotation="90"/>
      <protection hidden="1"/>
    </xf>
    <xf numFmtId="0" fontId="14" fillId="4" borderId="11" xfId="0" applyFont="1" applyFill="1" applyBorder="1" applyAlignment="1" applyProtection="1">
      <alignment horizontal="center" vertical="center" textRotation="90"/>
      <protection hidden="1"/>
    </xf>
    <xf numFmtId="0" fontId="16" fillId="4" borderId="11" xfId="0" applyFont="1" applyFill="1" applyBorder="1" applyAlignment="1" applyProtection="1">
      <protection hidden="1"/>
    </xf>
    <xf numFmtId="0" fontId="3" fillId="0" borderId="1" xfId="0" applyFont="1" applyFill="1" applyBorder="1" applyAlignment="1" applyProtection="1">
      <alignment horizontal="left" vertical="justify"/>
      <protection hidden="1"/>
    </xf>
    <xf numFmtId="0" fontId="0" fillId="0" borderId="1" xfId="0" applyFill="1" applyBorder="1" applyAlignment="1">
      <alignment horizontal="center"/>
    </xf>
    <xf numFmtId="0" fontId="4" fillId="0" borderId="0" xfId="0" applyFont="1" applyBorder="1" applyAlignment="1" applyProtection="1">
      <alignment horizontal="left" wrapText="1"/>
      <protection hidden="1"/>
    </xf>
    <xf numFmtId="0" fontId="0" fillId="0" borderId="0" xfId="0" applyFont="1" applyAlignment="1"/>
  </cellXfs>
  <cellStyles count="7">
    <cellStyle name="Гіперпосилання" xfId="1" builtinId="8"/>
    <cellStyle name="Звичайний" xfId="0" builtinId="0"/>
    <cellStyle name="Звичайний 2" xfId="4"/>
    <cellStyle name="Звичайний 3" xfId="6"/>
    <cellStyle name="Обычный 2" xfId="5"/>
    <cellStyle name="Обычный 64" xfId="3"/>
    <cellStyle name="Обычный_Forec table IMF style 39" xfId="2"/>
  </cellStyles>
  <dxfs count="0"/>
  <tableStyles count="0" defaultTableStyle="TableStyleMedium2" defaultPivotStyle="PivotStyleLight16"/>
  <colors>
    <mruColors>
      <color rgb="FF005B2B"/>
      <color rgb="FFC4D79B"/>
      <color rgb="FFEBF1DE"/>
      <color rgb="FFD8E4BC"/>
      <color rgb="FFF8FDDB"/>
      <color rgb="FFFC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$A$1" fmlaRange="$A$3:$A$11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487680</xdr:colOff>
          <xdr:row>1</xdr:row>
          <xdr:rowOff>152400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1352550</xdr:colOff>
      <xdr:row>6</xdr:row>
      <xdr:rowOff>66675</xdr:rowOff>
    </xdr:from>
    <xdr:to>
      <xdr:col>6</xdr:col>
      <xdr:colOff>0</xdr:colOff>
      <xdr:row>16</xdr:row>
      <xdr:rowOff>76200</xdr:rowOff>
    </xdr:to>
    <xdr:grpSp>
      <xdr:nvGrpSpPr>
        <xdr:cNvPr id="3" name="Групп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105585" y="1483099"/>
          <a:ext cx="6088156" cy="3147172"/>
          <a:chOff x="2095499" y="1428750"/>
          <a:chExt cx="5867401" cy="3076575"/>
        </a:xfrm>
      </xdr:grpSpPr>
      <xdr:cxnSp macro="">
        <xdr:nvCxnSpPr>
          <xdr:cNvPr id="18" name="Прямая со стрелко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6629400" y="4324350"/>
            <a:ext cx="1333500" cy="1"/>
          </a:xfrm>
          <a:prstGeom prst="straightConnector1">
            <a:avLst/>
          </a:prstGeom>
          <a:ln w="25400" cmpd="sng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Пряма зі стрілкою 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6629400" y="2105027"/>
            <a:ext cx="1323975" cy="9523"/>
          </a:xfrm>
          <a:prstGeom prst="straightConnector1">
            <a:avLst/>
          </a:prstGeom>
          <a:ln w="25400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6" name="Группа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/>
        </xdr:nvGrpSpPr>
        <xdr:grpSpPr>
          <a:xfrm>
            <a:off x="2095499" y="1428750"/>
            <a:ext cx="2657475" cy="666750"/>
            <a:chOff x="2276475" y="1628775"/>
            <a:chExt cx="2266950" cy="800100"/>
          </a:xfrm>
        </xdr:grpSpPr>
        <xdr:cxnSp macro="">
          <xdr:nvCxnSpPr>
            <xdr:cNvPr id="5" name="Пряма сполучна лінія 6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2276475" y="1628775"/>
              <a:ext cx="9525" cy="800100"/>
            </a:xfrm>
            <a:prstGeom prst="line">
              <a:avLst/>
            </a:prstGeom>
            <a:ln w="25400" cmpd="sng">
              <a:solidFill>
                <a:srgbClr val="005B2B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" name="Пряма сполучна лінія 6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CxnSpPr/>
          </xdr:nvCxnSpPr>
          <xdr:spPr>
            <a:xfrm>
              <a:off x="2286000" y="2428875"/>
              <a:ext cx="2257425" cy="0"/>
            </a:xfrm>
            <a:prstGeom prst="line">
              <a:avLst/>
            </a:prstGeom>
            <a:ln w="25400" cmpd="sng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" name="Прямая со стрелко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2105663" y="1967254"/>
            <a:ext cx="10163" cy="2538071"/>
          </a:xfrm>
          <a:prstGeom prst="straightConnector1">
            <a:avLst/>
          </a:prstGeom>
          <a:ln w="25400" cmpd="sng">
            <a:solidFill>
              <a:srgbClr val="005B2B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Прямая со стрелкой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 flipV="1">
            <a:off x="2115825" y="4486275"/>
            <a:ext cx="2618100" cy="19050"/>
          </a:xfrm>
          <a:prstGeom prst="straightConnector1">
            <a:avLst/>
          </a:prstGeom>
          <a:ln w="25400" cmpd="sng">
            <a:solidFill>
              <a:srgbClr val="005B2B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stat.gov.ua/operativ/operativ2013/pr/orp_rik/orp_rik_u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tabSelected="1" zoomScale="85" zoomScaleNormal="85" workbookViewId="0">
      <selection activeCell="G19" sqref="G19"/>
    </sheetView>
  </sheetViews>
  <sheetFormatPr defaultColWidth="9.109375" defaultRowHeight="18" x14ac:dyDescent="0.35"/>
  <cols>
    <col min="1" max="1" width="11" style="2" customWidth="1"/>
    <col min="2" max="2" width="48.5546875" style="2" customWidth="1"/>
    <col min="3" max="3" width="11.44140625" style="2" customWidth="1"/>
    <col min="4" max="4" width="28.33203125" style="2" customWidth="1"/>
    <col min="5" max="5" width="9.109375" style="2"/>
    <col min="6" max="6" width="11" style="2" customWidth="1"/>
    <col min="7" max="7" width="16.88671875" style="2" customWidth="1"/>
    <col min="8" max="8" width="114.6640625" style="2" customWidth="1"/>
    <col min="9" max="9" width="9.109375" style="2"/>
    <col min="10" max="10" width="11.33203125" style="2" customWidth="1"/>
    <col min="11" max="11" width="9.109375" style="2"/>
    <col min="12" max="12" width="10.33203125" style="2" customWidth="1"/>
    <col min="13" max="18" width="9.109375" style="2"/>
    <col min="19" max="19" width="12" style="2" customWidth="1"/>
    <col min="20" max="20" width="9.109375" style="2"/>
    <col min="21" max="21" width="11.5546875" style="2" customWidth="1"/>
    <col min="22" max="16384" width="9.109375" style="2"/>
  </cols>
  <sheetData>
    <row r="1" spans="1:19" ht="14.1" customHeight="1" x14ac:dyDescent="0.35">
      <c r="A1" s="47">
        <v>1</v>
      </c>
      <c r="B1" s="19"/>
      <c r="C1" s="19"/>
      <c r="D1" s="19"/>
      <c r="E1" s="19"/>
      <c r="F1" s="19"/>
      <c r="G1" s="19"/>
      <c r="H1" s="19"/>
      <c r="I1" s="19"/>
    </row>
    <row r="2" spans="1:19" ht="14.1" customHeight="1" x14ac:dyDescent="0.35">
      <c r="A2" s="20"/>
      <c r="B2" s="19"/>
      <c r="C2" s="19"/>
      <c r="D2" s="19"/>
      <c r="E2" s="19"/>
      <c r="F2" s="19"/>
      <c r="G2" s="19"/>
      <c r="H2" s="19"/>
      <c r="I2" s="19"/>
      <c r="S2" s="3"/>
    </row>
    <row r="3" spans="1:19" ht="18.75" customHeight="1" x14ac:dyDescent="0.35">
      <c r="A3" s="21" t="s">
        <v>2</v>
      </c>
      <c r="B3" s="19"/>
      <c r="C3" s="19"/>
      <c r="D3" s="19"/>
      <c r="E3" s="19"/>
      <c r="F3" s="22"/>
      <c r="G3" s="19"/>
      <c r="H3" s="23"/>
      <c r="I3" s="19"/>
      <c r="S3" s="4"/>
    </row>
    <row r="4" spans="1:19" ht="18.75" customHeight="1" x14ac:dyDescent="0.35">
      <c r="A4" s="21" t="s">
        <v>1</v>
      </c>
      <c r="B4" s="19"/>
      <c r="C4" s="19"/>
      <c r="D4" s="19"/>
      <c r="E4" s="19"/>
      <c r="F4" s="22"/>
      <c r="G4" s="19"/>
      <c r="H4" s="23"/>
      <c r="I4" s="19"/>
      <c r="S4" s="4"/>
    </row>
    <row r="5" spans="1:19" ht="3" customHeight="1" thickBot="1" x14ac:dyDescent="0.4">
      <c r="A5" s="21"/>
      <c r="B5" s="24"/>
      <c r="C5" s="19"/>
      <c r="D5" s="19"/>
      <c r="E5" s="19"/>
      <c r="F5" s="22"/>
      <c r="G5" s="19"/>
      <c r="H5" s="23"/>
      <c r="I5" s="19"/>
      <c r="S5" s="4"/>
    </row>
    <row r="6" spans="1:19" ht="44.25" customHeight="1" thickTop="1" thickBot="1" x14ac:dyDescent="0.4">
      <c r="A6" s="25"/>
      <c r="B6" s="26" t="str">
        <f>IF('0'!A1=1,"ПРОМИСЛОВІСТЬ","INDUSTRY")</f>
        <v>ПРОМИСЛОВІСТЬ</v>
      </c>
      <c r="C6" s="19"/>
      <c r="D6" s="24"/>
      <c r="E6" s="19"/>
      <c r="F6" s="22"/>
      <c r="G6" s="19"/>
      <c r="H6" s="23"/>
      <c r="I6" s="19"/>
      <c r="S6" s="4"/>
    </row>
    <row r="7" spans="1:19" ht="21" customHeight="1" thickTop="1" x14ac:dyDescent="0.35">
      <c r="A7" s="21"/>
      <c r="B7" s="19"/>
      <c r="C7" s="19"/>
      <c r="D7" s="89" t="str">
        <f>IF('0'!A1=1,"Місяць","Month")</f>
        <v>Місяць</v>
      </c>
      <c r="E7" s="19"/>
      <c r="F7" s="22"/>
      <c r="G7" s="54">
        <v>1</v>
      </c>
      <c r="H7" s="27" t="s">
        <v>3</v>
      </c>
      <c r="I7" s="19"/>
      <c r="S7" s="4"/>
    </row>
    <row r="8" spans="1:19" ht="21" customHeight="1" x14ac:dyDescent="0.35">
      <c r="A8" s="21"/>
      <c r="B8" s="19"/>
      <c r="C8" s="19"/>
      <c r="D8" s="90"/>
      <c r="E8" s="19"/>
      <c r="F8" s="22"/>
      <c r="G8" s="55">
        <v>2</v>
      </c>
      <c r="H8" s="28" t="s">
        <v>4</v>
      </c>
      <c r="I8" s="19"/>
      <c r="S8" s="4"/>
    </row>
    <row r="9" spans="1:19" ht="18.75" customHeight="1" x14ac:dyDescent="0.35">
      <c r="A9" s="21"/>
      <c r="B9" s="19"/>
      <c r="C9" s="19"/>
      <c r="D9" s="91"/>
      <c r="E9" s="19"/>
      <c r="F9" s="22"/>
      <c r="G9" s="55">
        <v>3</v>
      </c>
      <c r="H9" s="28" t="s">
        <v>5</v>
      </c>
      <c r="I9" s="19"/>
      <c r="S9" s="4"/>
    </row>
    <row r="10" spans="1:19" ht="18.75" customHeight="1" x14ac:dyDescent="0.35">
      <c r="A10" s="21"/>
      <c r="B10" s="19"/>
      <c r="C10" s="19"/>
      <c r="D10" s="91"/>
      <c r="E10" s="19"/>
      <c r="F10" s="29"/>
      <c r="G10" s="55">
        <v>4</v>
      </c>
      <c r="H10" s="28" t="s">
        <v>6</v>
      </c>
      <c r="I10" s="19"/>
      <c r="S10" s="4"/>
    </row>
    <row r="11" spans="1:19" ht="18.75" customHeight="1" thickBot="1" x14ac:dyDescent="0.4">
      <c r="A11" s="21"/>
      <c r="B11" s="19"/>
      <c r="C11" s="19"/>
      <c r="D11" s="91"/>
      <c r="E11" s="19"/>
      <c r="F11" s="19"/>
      <c r="G11" s="56">
        <v>5</v>
      </c>
      <c r="H11" s="30" t="s">
        <v>7</v>
      </c>
      <c r="I11" s="19"/>
      <c r="S11" s="4"/>
    </row>
    <row r="12" spans="1:19" ht="18" customHeight="1" thickTop="1" x14ac:dyDescent="0.35">
      <c r="A12" s="21"/>
      <c r="B12" s="22"/>
      <c r="C12" s="19"/>
      <c r="D12" s="57"/>
      <c r="E12" s="19"/>
      <c r="F12" s="22"/>
      <c r="G12" s="19"/>
      <c r="H12" s="19"/>
      <c r="I12" s="19"/>
      <c r="S12" s="4"/>
    </row>
    <row r="13" spans="1:19" ht="53.25" customHeight="1" x14ac:dyDescent="0.35">
      <c r="A13" s="19"/>
      <c r="B13" s="22"/>
      <c r="C13" s="31"/>
      <c r="D13" s="19"/>
      <c r="E13" s="19"/>
      <c r="F13" s="22"/>
      <c r="G13" s="22"/>
      <c r="H13" s="19"/>
      <c r="I13" s="19"/>
      <c r="S13" s="4"/>
    </row>
    <row r="14" spans="1:19" ht="39" customHeight="1" thickBot="1" x14ac:dyDescent="0.4">
      <c r="A14" s="19"/>
      <c r="B14" s="19"/>
      <c r="C14" s="19"/>
      <c r="D14" s="32"/>
      <c r="E14" s="19"/>
      <c r="F14" s="22"/>
      <c r="G14" s="22"/>
      <c r="H14" s="24"/>
      <c r="I14" s="19"/>
      <c r="S14" s="4"/>
    </row>
    <row r="15" spans="1:19" ht="20.25" customHeight="1" thickTop="1" x14ac:dyDescent="0.35">
      <c r="A15" s="19"/>
      <c r="B15" s="19"/>
      <c r="C15" s="33"/>
      <c r="D15" s="86" t="str">
        <f>IF('0'!A1=1,"Рік","Year")</f>
        <v>Рік</v>
      </c>
      <c r="E15" s="34"/>
      <c r="F15" s="22"/>
      <c r="G15" s="52">
        <v>1</v>
      </c>
      <c r="H15" s="53" t="str">
        <f>IF('0'!A1=1,"Обсяг реалізованої промислової продукції (товарів, послуг), млн.грн. (КВЕД-2010)","Volume of industrial products (goods, services) sold, mln.UAH. (KVED-2010)")</f>
        <v>Обсяг реалізованої промислової продукції (товарів, послуг), млн.грн. (КВЕД-2010)</v>
      </c>
      <c r="I15" s="19"/>
    </row>
    <row r="16" spans="1:19" ht="20.25" customHeight="1" x14ac:dyDescent="0.35">
      <c r="A16" s="19"/>
      <c r="B16" s="19"/>
      <c r="C16" s="33"/>
      <c r="D16" s="87"/>
      <c r="E16" s="34"/>
      <c r="F16" s="22"/>
      <c r="G16" s="61">
        <v>2</v>
      </c>
      <c r="H16" s="60" t="str">
        <f>IF('0'!A1=1,"Індекси промислової продукції за видами діяльності (до відповідного періоду попереднього року, % (2010=100%)","Industrial products Indices (to corresponding period of the previous year, % (2010=100%)")</f>
        <v>Індекси промислової продукції за видами діяльності (до відповідного періоду попереднього року, % (2010=100%)</v>
      </c>
      <c r="I16" s="19"/>
    </row>
    <row r="17" spans="1:19" ht="24" customHeight="1" thickBot="1" x14ac:dyDescent="0.4">
      <c r="A17" s="19"/>
      <c r="B17" s="19"/>
      <c r="C17" s="33"/>
      <c r="D17" s="88"/>
      <c r="E17" s="34"/>
      <c r="F17" s="19"/>
      <c r="G17" s="78">
        <v>3</v>
      </c>
      <c r="H17" s="60" t="str">
        <f>IF('0'!A1=1,"Індекси промислової продукції за видами діяльності (до відповідного періоду попереднього року,% (2016=100%)","Industrial products Indices (to corresponding period of the previous year, % (2016=100%)")</f>
        <v>Індекси промислової продукції за видами діяльності (до відповідного періоду попереднього року,% (2016=100%)</v>
      </c>
      <c r="I17" s="76"/>
      <c r="J17" s="77"/>
      <c r="S17" s="5"/>
    </row>
    <row r="18" spans="1:19" ht="21.75" customHeight="1" thickTop="1" thickBot="1" x14ac:dyDescent="0.4">
      <c r="A18" s="19"/>
      <c r="B18" s="19"/>
      <c r="C18" s="19"/>
      <c r="D18" s="19"/>
      <c r="E18" s="19"/>
      <c r="F18" s="19"/>
      <c r="G18" s="71" t="s">
        <v>10</v>
      </c>
      <c r="H18" s="58" t="str">
        <f>IF('0'!A1=1,"Обсяг та індекси промислової продукції (2001-2021). ","Volume and indexes of industrial products (2001-2021)")</f>
        <v xml:space="preserve">Обсяг та індекси промислової продукції (2001-2021). </v>
      </c>
      <c r="I18" s="19"/>
    </row>
    <row r="19" spans="1:19" ht="18.600000000000001" thickTop="1" x14ac:dyDescent="0.35">
      <c r="A19" s="19"/>
      <c r="B19" s="19"/>
      <c r="C19" s="19"/>
      <c r="D19" s="19"/>
      <c r="E19" s="19"/>
      <c r="F19" s="19"/>
      <c r="G19" s="19"/>
      <c r="H19" s="19"/>
      <c r="I19" s="19"/>
    </row>
    <row r="20" spans="1:19" x14ac:dyDescent="0.35">
      <c r="A20" s="19"/>
      <c r="B20" s="19"/>
      <c r="C20" s="19"/>
      <c r="D20" s="19"/>
      <c r="E20" s="19"/>
      <c r="F20" s="19"/>
      <c r="G20" s="19"/>
      <c r="H20" s="19"/>
      <c r="I20" s="19"/>
    </row>
    <row r="21" spans="1:19" x14ac:dyDescent="0.35">
      <c r="A21" s="19"/>
      <c r="B21" s="19"/>
      <c r="C21" s="19"/>
      <c r="D21" s="19"/>
      <c r="E21" s="19"/>
      <c r="F21" s="19"/>
      <c r="G21" s="19"/>
      <c r="H21" s="22"/>
      <c r="I21" s="19"/>
    </row>
    <row r="22" spans="1:19" x14ac:dyDescent="0.35">
      <c r="A22" s="19"/>
      <c r="B22" s="19"/>
      <c r="C22" s="19"/>
      <c r="D22" s="19"/>
      <c r="E22" s="19"/>
      <c r="F22" s="19"/>
      <c r="G22" s="19"/>
      <c r="H22" s="19"/>
      <c r="I22" s="19"/>
    </row>
    <row r="23" spans="1:19" x14ac:dyDescent="0.35">
      <c r="A23" s="19"/>
      <c r="B23" s="19"/>
      <c r="C23" s="19"/>
      <c r="D23" s="19"/>
      <c r="E23" s="19"/>
      <c r="F23" s="19"/>
      <c r="G23" s="22"/>
      <c r="H23" s="22"/>
      <c r="I23" s="19"/>
    </row>
    <row r="24" spans="1:19" x14ac:dyDescent="0.35">
      <c r="A24" s="19"/>
      <c r="B24" s="19"/>
      <c r="C24" s="19"/>
      <c r="D24" s="19"/>
      <c r="E24" s="19"/>
      <c r="F24" s="19"/>
      <c r="G24" s="19"/>
      <c r="H24" s="19"/>
      <c r="I24" s="19"/>
    </row>
    <row r="25" spans="1:19" x14ac:dyDescent="0.35">
      <c r="A25" s="19"/>
      <c r="B25" s="19"/>
      <c r="C25" s="19"/>
      <c r="D25" s="19"/>
      <c r="E25" s="19"/>
      <c r="F25" s="19"/>
      <c r="G25" s="19"/>
      <c r="H25" s="19"/>
      <c r="I25" s="19"/>
    </row>
    <row r="26" spans="1:19" x14ac:dyDescent="0.35">
      <c r="A26" s="19"/>
      <c r="B26" s="19"/>
      <c r="C26" s="19"/>
      <c r="D26" s="19"/>
      <c r="E26" s="19"/>
      <c r="F26" s="19"/>
      <c r="G26" s="19"/>
      <c r="H26" s="19"/>
      <c r="I26" s="19"/>
    </row>
    <row r="27" spans="1:19" x14ac:dyDescent="0.35">
      <c r="A27" s="19"/>
      <c r="B27" s="19"/>
      <c r="C27" s="19"/>
      <c r="D27" s="19"/>
      <c r="E27" s="19"/>
      <c r="F27" s="19"/>
      <c r="G27" s="19"/>
      <c r="H27" s="19"/>
      <c r="I27" s="19"/>
    </row>
    <row r="28" spans="1:19" x14ac:dyDescent="0.35">
      <c r="G28" s="19"/>
      <c r="H28" s="19"/>
    </row>
  </sheetData>
  <mergeCells count="2">
    <mergeCell ref="D15:D17"/>
    <mergeCell ref="D7:D11"/>
  </mergeCells>
  <hyperlinks>
    <hyperlink ref="G15" location="'1'!A1" display="'1'!A1"/>
    <hyperlink ref="G16" location="'2'!A1" display="'2'!A1"/>
    <hyperlink ref="G18" location="'ОПП_2001-2019'!A1" display="ОПП_2001-2019"/>
    <hyperlink ref="G17" location="'3'!A1" display="'3'!A1"/>
  </hyperlinks>
  <pageMargins left="0.7" right="0.7" top="0.75" bottom="0.75" header="0.3" footer="0.3"/>
  <pageSetup paperSize="9" scale="84" orientation="landscape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List Box 2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487680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showRowColHeaders="0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2" sqref="P2"/>
    </sheetView>
  </sheetViews>
  <sheetFormatPr defaultRowHeight="14.4" x14ac:dyDescent="0.3"/>
  <cols>
    <col min="1" max="1" width="8.6640625" customWidth="1"/>
    <col min="2" max="2" width="45.6640625" customWidth="1"/>
    <col min="3" max="3" width="12.6640625" customWidth="1"/>
    <col min="4" max="7" width="12.6640625" style="1" customWidth="1"/>
    <col min="8" max="12" width="12.6640625" customWidth="1"/>
    <col min="13" max="16" width="12.77734375" customWidth="1"/>
  </cols>
  <sheetData>
    <row r="1" spans="1:16" x14ac:dyDescent="0.3">
      <c r="A1" s="35" t="str">
        <f>IF('0'!A1=1,"до змісту","to title")</f>
        <v>до змісту</v>
      </c>
      <c r="C1" s="66"/>
      <c r="D1" s="15"/>
      <c r="E1" s="66"/>
      <c r="F1" s="67"/>
      <c r="G1" s="67"/>
      <c r="H1" s="68"/>
      <c r="I1" s="67"/>
      <c r="J1" s="69"/>
      <c r="K1" s="70"/>
      <c r="L1" t="s">
        <v>9</v>
      </c>
    </row>
    <row r="2" spans="1:16" ht="35.1" customHeight="1" x14ac:dyDescent="0.3">
      <c r="A2" s="92" t="str">
        <f>IF('0'!A1=1,"Обсяг реалізованої промислової продукції (товарів, послуг), млн.грн. (КВЕД-2010)*","Volume of industrial products (goods, services) sold, mln.UAH. (CTEA-2010)*")</f>
        <v>Обсяг реалізованої промислової продукції (товарів, послуг), млн.грн. (КВЕД-2010)*</v>
      </c>
      <c r="B2" s="93" t="e">
        <f>IF('0'!#REF!=1,"Україна","Ukraine")</f>
        <v>#REF!</v>
      </c>
      <c r="C2" s="8">
        <v>2010</v>
      </c>
      <c r="D2" s="8">
        <v>2011</v>
      </c>
      <c r="E2" s="8">
        <v>2012</v>
      </c>
      <c r="F2" s="8">
        <v>2013</v>
      </c>
      <c r="G2" s="8">
        <v>2014</v>
      </c>
      <c r="H2" s="8">
        <v>2015</v>
      </c>
      <c r="I2" s="8">
        <v>2016</v>
      </c>
      <c r="J2" s="8">
        <v>2017</v>
      </c>
      <c r="K2" s="8">
        <v>2018</v>
      </c>
      <c r="L2" s="8">
        <v>2019</v>
      </c>
      <c r="M2" s="8">
        <v>2020</v>
      </c>
      <c r="N2" s="8">
        <v>2021</v>
      </c>
      <c r="O2" s="8">
        <v>2022</v>
      </c>
      <c r="P2" s="8">
        <v>2023</v>
      </c>
    </row>
    <row r="3" spans="1:16" ht="30" customHeight="1" x14ac:dyDescent="0.3">
      <c r="A3" s="94" t="str">
        <f>IF('0'!A1=1,"ВИДИ ЕКОНОМІЧНОЇ ДІЯЛЬНОСТІ","TYPES OF ECONOMIC ACTIVITY")</f>
        <v>ВИДИ ЕКОНОМІЧНОЇ ДІЯЛЬНОСТІ</v>
      </c>
      <c r="B3" s="36" t="str">
        <f>IF('0'!A1=1,"Промисловість","Industry")</f>
        <v>Промисловість</v>
      </c>
      <c r="C3" s="48">
        <v>1043110.8</v>
      </c>
      <c r="D3" s="48">
        <v>1305308</v>
      </c>
      <c r="E3" s="48">
        <v>1367925.5</v>
      </c>
      <c r="F3" s="48">
        <v>1322408.3999999999</v>
      </c>
      <c r="G3" s="48">
        <v>1428839.1</v>
      </c>
      <c r="H3" s="48">
        <v>1776603.7</v>
      </c>
      <c r="I3" s="48">
        <v>2158030</v>
      </c>
      <c r="J3" s="48">
        <v>2625862.7000000002</v>
      </c>
      <c r="K3" s="48">
        <v>3045201.9</v>
      </c>
      <c r="L3" s="48">
        <v>3019383.1</v>
      </c>
      <c r="M3" s="48">
        <v>3236369.1</v>
      </c>
      <c r="N3" s="48">
        <v>4678908.5999999996</v>
      </c>
      <c r="O3" s="48">
        <v>3854040.1</v>
      </c>
      <c r="P3" s="48">
        <v>4397685.5</v>
      </c>
    </row>
    <row r="4" spans="1:16" ht="30" customHeight="1" x14ac:dyDescent="0.3">
      <c r="A4" s="95"/>
      <c r="B4" s="37" t="str">
        <f>IF('0'!A1=1,"Добувна промисловість і розроблення кар'єрів","Mining and quarrying")</f>
        <v>Добувна промисловість і розроблення кар'єрів</v>
      </c>
      <c r="C4" s="48">
        <v>104081.5</v>
      </c>
      <c r="D4" s="48">
        <v>143747.70000000001</v>
      </c>
      <c r="E4" s="48">
        <v>143941.9</v>
      </c>
      <c r="F4" s="48">
        <v>151575.29999999999</v>
      </c>
      <c r="G4" s="48">
        <v>154700.79999999999</v>
      </c>
      <c r="H4" s="48">
        <v>191599.3</v>
      </c>
      <c r="I4" s="48">
        <v>240150.3</v>
      </c>
      <c r="J4" s="48">
        <v>323530.40000000002</v>
      </c>
      <c r="K4" s="48">
        <v>391471.1</v>
      </c>
      <c r="L4" s="48">
        <v>402232.7</v>
      </c>
      <c r="M4" s="48">
        <v>361685.4</v>
      </c>
      <c r="N4" s="48">
        <v>597088.9</v>
      </c>
      <c r="O4" s="48">
        <v>428168.5</v>
      </c>
      <c r="P4" s="48">
        <v>495822.8</v>
      </c>
    </row>
    <row r="5" spans="1:16" ht="30" customHeight="1" x14ac:dyDescent="0.3">
      <c r="A5" s="95"/>
      <c r="B5" s="37" t="str">
        <f>IF('0'!A1=1,"Переробна промисловість","Manufacturing")</f>
        <v>Переробна промисловість</v>
      </c>
      <c r="C5" s="48">
        <v>703340</v>
      </c>
      <c r="D5" s="48">
        <v>852537.4</v>
      </c>
      <c r="E5" s="48">
        <v>871146.6</v>
      </c>
      <c r="F5" s="48">
        <v>817734.3</v>
      </c>
      <c r="G5" s="48">
        <v>903735.3</v>
      </c>
      <c r="H5" s="48">
        <v>1139213.2</v>
      </c>
      <c r="I5" s="48">
        <v>1312729</v>
      </c>
      <c r="J5" s="48">
        <v>1627504.3</v>
      </c>
      <c r="K5" s="48">
        <v>1885406.2</v>
      </c>
      <c r="L5" s="48">
        <v>1828327.3</v>
      </c>
      <c r="M5" s="48">
        <v>1879375.3</v>
      </c>
      <c r="N5" s="48">
        <v>2618398.1</v>
      </c>
      <c r="O5" s="48">
        <v>1850049.6</v>
      </c>
      <c r="P5" s="48">
        <v>2295652.9</v>
      </c>
    </row>
    <row r="6" spans="1:16" ht="30" customHeight="1" x14ac:dyDescent="0.3">
      <c r="A6" s="95"/>
      <c r="B6" s="38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6" s="48">
        <v>187522</v>
      </c>
      <c r="D6" s="48">
        <v>216454</v>
      </c>
      <c r="E6" s="48">
        <v>245869.7</v>
      </c>
      <c r="F6" s="48">
        <v>253439</v>
      </c>
      <c r="G6" s="48">
        <v>302391.90000000002</v>
      </c>
      <c r="H6" s="48">
        <v>398023.2</v>
      </c>
      <c r="I6" s="48">
        <v>462418.9</v>
      </c>
      <c r="J6" s="48">
        <v>548377.9</v>
      </c>
      <c r="K6" s="48">
        <v>589854.5</v>
      </c>
      <c r="L6" s="48">
        <v>616166.69999999995</v>
      </c>
      <c r="M6" s="48">
        <v>678844.4</v>
      </c>
      <c r="N6" s="48">
        <v>842596.4</v>
      </c>
      <c r="O6" s="48">
        <v>720865.5</v>
      </c>
      <c r="P6" s="48">
        <v>889643</v>
      </c>
    </row>
    <row r="7" spans="1:16" ht="30" customHeight="1" x14ac:dyDescent="0.3">
      <c r="A7" s="95"/>
      <c r="B7" s="38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7" s="48">
        <v>8348.6</v>
      </c>
      <c r="D7" s="48">
        <v>9676.2000000000007</v>
      </c>
      <c r="E7" s="48">
        <v>9763.6</v>
      </c>
      <c r="F7" s="48">
        <v>9606</v>
      </c>
      <c r="G7" s="48">
        <v>11510</v>
      </c>
      <c r="H7" s="48">
        <v>17384.400000000001</v>
      </c>
      <c r="I7" s="48">
        <v>20344.400000000001</v>
      </c>
      <c r="J7" s="48">
        <v>25653.3</v>
      </c>
      <c r="K7" s="48">
        <v>31129.7</v>
      </c>
      <c r="L7" s="48">
        <v>31251.599999999999</v>
      </c>
      <c r="M7" s="48">
        <v>33043.1</v>
      </c>
      <c r="N7" s="48">
        <v>42456.7</v>
      </c>
      <c r="O7" s="48">
        <v>43888.800000000003</v>
      </c>
      <c r="P7" s="48">
        <v>63187</v>
      </c>
    </row>
    <row r="8" spans="1:16" ht="30" customHeight="1" x14ac:dyDescent="0.3">
      <c r="A8" s="95"/>
      <c r="B8" s="38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8" s="48">
        <v>26987.3</v>
      </c>
      <c r="D8" s="48">
        <v>31613.1</v>
      </c>
      <c r="E8" s="48">
        <v>34103.9</v>
      </c>
      <c r="F8" s="48">
        <v>35934.9</v>
      </c>
      <c r="G8" s="48">
        <v>43816.7</v>
      </c>
      <c r="H8" s="48">
        <v>60146.2</v>
      </c>
      <c r="I8" s="48">
        <v>72700.7</v>
      </c>
      <c r="J8" s="48">
        <v>84153.4</v>
      </c>
      <c r="K8" s="48">
        <v>104062</v>
      </c>
      <c r="L8" s="48">
        <v>99497.5</v>
      </c>
      <c r="M8" s="48">
        <v>101782.9</v>
      </c>
      <c r="N8" s="48">
        <v>141718.39999999999</v>
      </c>
      <c r="O8" s="48">
        <v>126119.4</v>
      </c>
      <c r="P8" s="48">
        <v>149173.1</v>
      </c>
    </row>
    <row r="9" spans="1:16" ht="30" customHeight="1" x14ac:dyDescent="0.3">
      <c r="A9" s="95"/>
      <c r="B9" s="38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9" s="48">
        <v>75102.399999999994</v>
      </c>
      <c r="D9" s="48">
        <v>77891.3</v>
      </c>
      <c r="E9" s="48">
        <v>63056.1</v>
      </c>
      <c r="F9" s="48">
        <v>48864.5</v>
      </c>
      <c r="G9" s="48">
        <v>47126.1</v>
      </c>
      <c r="H9" s="48">
        <v>59971.7</v>
      </c>
      <c r="I9" s="48">
        <v>69855.600000000006</v>
      </c>
      <c r="J9" s="48">
        <v>103191.8</v>
      </c>
      <c r="K9" s="48">
        <v>117269.5</v>
      </c>
      <c r="L9" s="48">
        <v>85381.2</v>
      </c>
      <c r="M9" s="48">
        <v>70856.399999999994</v>
      </c>
      <c r="N9" s="48">
        <v>121251.5</v>
      </c>
      <c r="O9" s="48">
        <v>58195.5</v>
      </c>
      <c r="P9" s="48">
        <v>40984.5</v>
      </c>
    </row>
    <row r="10" spans="1:16" ht="30" customHeight="1" x14ac:dyDescent="0.3">
      <c r="A10" s="95"/>
      <c r="B10" s="38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0" s="48">
        <v>32420.400000000001</v>
      </c>
      <c r="D10" s="48">
        <v>52674.3</v>
      </c>
      <c r="E10" s="48">
        <v>55966.7</v>
      </c>
      <c r="F10" s="48">
        <v>48508.1</v>
      </c>
      <c r="G10" s="48">
        <v>49808.2</v>
      </c>
      <c r="H10" s="48">
        <v>68010.100000000006</v>
      </c>
      <c r="I10" s="48">
        <v>60534.8</v>
      </c>
      <c r="J10" s="48">
        <v>65767.600000000006</v>
      </c>
      <c r="K10" s="48">
        <v>78254.899999999994</v>
      </c>
      <c r="L10" s="48">
        <v>79769.399999999994</v>
      </c>
      <c r="M10" s="48">
        <v>81139.899999999994</v>
      </c>
      <c r="N10" s="48">
        <v>122722.7</v>
      </c>
      <c r="O10" s="48">
        <v>77133</v>
      </c>
      <c r="P10" s="48">
        <v>91293.3</v>
      </c>
    </row>
    <row r="11" spans="1:16" ht="30" customHeight="1" x14ac:dyDescent="0.3">
      <c r="A11" s="95"/>
      <c r="B11" s="38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1" s="48">
        <v>7396.7</v>
      </c>
      <c r="D11" s="48">
        <v>8860</v>
      </c>
      <c r="E11" s="48">
        <v>10457.299999999999</v>
      </c>
      <c r="F11" s="48">
        <v>12202.9</v>
      </c>
      <c r="G11" s="48">
        <v>14595.8</v>
      </c>
      <c r="H11" s="48">
        <v>20295.8</v>
      </c>
      <c r="I11" s="48">
        <v>26060.9</v>
      </c>
      <c r="J11" s="48">
        <v>30175.3</v>
      </c>
      <c r="K11" s="48">
        <v>34633.199999999997</v>
      </c>
      <c r="L11" s="48">
        <v>37425.4</v>
      </c>
      <c r="M11" s="48">
        <v>42408</v>
      </c>
      <c r="N11" s="48">
        <v>50633.8</v>
      </c>
      <c r="O11" s="48">
        <v>43053.3</v>
      </c>
      <c r="P11" s="48">
        <v>55143.199999999997</v>
      </c>
    </row>
    <row r="12" spans="1:16" ht="30" customHeight="1" x14ac:dyDescent="0.3">
      <c r="A12" s="95"/>
      <c r="B12" s="38" t="str">
        <f>IF('0'!A1=1,"виробництво гумових і пластмасових виробів; іншої неметалевої мінеральної продукціі","manufacture of rubber and plastic products, manufacture of other non-metallic mineral products")</f>
        <v>виробництво гумових і пластмасових виробів; іншої неметалевої мінеральної продукціі</v>
      </c>
      <c r="C12" s="48">
        <v>45791.8</v>
      </c>
      <c r="D12" s="48">
        <v>55583</v>
      </c>
      <c r="E12" s="48">
        <v>58714.8</v>
      </c>
      <c r="F12" s="48">
        <v>58386.8</v>
      </c>
      <c r="G12" s="48">
        <v>64212.5</v>
      </c>
      <c r="H12" s="48">
        <v>85969.9</v>
      </c>
      <c r="I12" s="48">
        <v>107615.7</v>
      </c>
      <c r="J12" s="48">
        <v>134146.9</v>
      </c>
      <c r="K12" s="48">
        <v>161113.1</v>
      </c>
      <c r="L12" s="48">
        <v>163897.9</v>
      </c>
      <c r="M12" s="48">
        <v>198261.3</v>
      </c>
      <c r="N12" s="48">
        <v>270329.8</v>
      </c>
      <c r="O12" s="48">
        <v>164173.20000000001</v>
      </c>
      <c r="P12" s="48">
        <v>231270.5</v>
      </c>
    </row>
    <row r="13" spans="1:16" ht="30" customHeight="1" x14ac:dyDescent="0.3">
      <c r="A13" s="95"/>
      <c r="B13" s="38" t="str">
        <f>IF('0'!A1=1,"металургійне виробництво.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виробництво. виробництво готових металевих виробів, крім машин і устаткування</v>
      </c>
      <c r="C13" s="48">
        <v>200001.9</v>
      </c>
      <c r="D13" s="48">
        <v>241884.7</v>
      </c>
      <c r="E13" s="48">
        <v>223294.1</v>
      </c>
      <c r="F13" s="48">
        <v>207305.3</v>
      </c>
      <c r="G13" s="48">
        <v>237393</v>
      </c>
      <c r="H13" s="48">
        <v>278502.8</v>
      </c>
      <c r="I13" s="48">
        <v>318195.90000000002</v>
      </c>
      <c r="J13" s="48">
        <v>411372.3</v>
      </c>
      <c r="K13" s="48">
        <v>492706.7</v>
      </c>
      <c r="L13" s="48">
        <v>423533.6</v>
      </c>
      <c r="M13" s="48">
        <v>397501.69999999995</v>
      </c>
      <c r="N13" s="48">
        <v>679491</v>
      </c>
      <c r="O13" s="48">
        <v>337768.5</v>
      </c>
      <c r="P13" s="48">
        <v>354881</v>
      </c>
    </row>
    <row r="14" spans="1:16" ht="30" customHeight="1" x14ac:dyDescent="0.3">
      <c r="A14" s="95"/>
      <c r="B14" s="38" t="str">
        <f>IF('0'!A1=1,"машинобудування","machinery")</f>
        <v>машинобудування</v>
      </c>
      <c r="C14" s="48">
        <v>97056.9</v>
      </c>
      <c r="D14" s="48">
        <v>130847.9</v>
      </c>
      <c r="E14" s="48">
        <v>140539.29999999999</v>
      </c>
      <c r="F14" s="48">
        <v>113926.6</v>
      </c>
      <c r="G14" s="48">
        <v>101924.7</v>
      </c>
      <c r="H14" s="48">
        <v>115261.7</v>
      </c>
      <c r="I14" s="48">
        <v>131351.79999999999</v>
      </c>
      <c r="J14" s="48">
        <v>168281.9</v>
      </c>
      <c r="K14" s="48">
        <v>208676.4</v>
      </c>
      <c r="L14" s="48">
        <v>212027.3</v>
      </c>
      <c r="M14" s="48">
        <v>197343.6</v>
      </c>
      <c r="N14" s="48">
        <v>243473.3</v>
      </c>
      <c r="O14" s="48">
        <v>199890.9</v>
      </c>
      <c r="P14" s="48">
        <v>316798</v>
      </c>
    </row>
    <row r="15" spans="1:16" ht="30" customHeight="1" x14ac:dyDescent="0.3">
      <c r="A15" s="95"/>
      <c r="B15" s="38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5" s="48">
        <v>22712</v>
      </c>
      <c r="D15" s="48">
        <v>27052.9</v>
      </c>
      <c r="E15" s="48">
        <v>29381.1</v>
      </c>
      <c r="F15" s="48">
        <v>29560.2</v>
      </c>
      <c r="G15" s="48">
        <v>30956.400000000001</v>
      </c>
      <c r="H15" s="48">
        <v>35647.4</v>
      </c>
      <c r="I15" s="48">
        <v>43650.3</v>
      </c>
      <c r="J15" s="48">
        <v>56383.9</v>
      </c>
      <c r="K15" s="48">
        <v>67706.2</v>
      </c>
      <c r="L15" s="48">
        <v>79376.7</v>
      </c>
      <c r="M15" s="48">
        <v>78194</v>
      </c>
      <c r="N15" s="48">
        <v>103724.5</v>
      </c>
      <c r="O15" s="48">
        <v>78961.5</v>
      </c>
      <c r="P15" s="48">
        <v>103279.3</v>
      </c>
    </row>
    <row r="16" spans="1:16" ht="30" customHeight="1" x14ac:dyDescent="0.3">
      <c r="A16" s="95"/>
      <c r="B16" s="37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16" s="48">
        <v>217430.1</v>
      </c>
      <c r="D16" s="48">
        <v>289016.2</v>
      </c>
      <c r="E16" s="48">
        <v>333248.2</v>
      </c>
      <c r="F16" s="48">
        <v>333400.59999999998</v>
      </c>
      <c r="G16" s="48">
        <v>351803.2</v>
      </c>
      <c r="H16" s="48">
        <v>424705.2</v>
      </c>
      <c r="I16" s="48">
        <v>580354.1</v>
      </c>
      <c r="J16" s="48">
        <v>646568</v>
      </c>
      <c r="K16" s="48">
        <v>736102.5</v>
      </c>
      <c r="L16" s="48">
        <v>749798.5</v>
      </c>
      <c r="M16" s="48">
        <v>953589.4</v>
      </c>
      <c r="N16" s="48">
        <v>1412574.8</v>
      </c>
      <c r="O16" s="48">
        <v>1530357.3</v>
      </c>
      <c r="P16" s="48">
        <v>1557385.5</v>
      </c>
    </row>
    <row r="17" spans="1:16" ht="30" customHeight="1" thickBot="1" x14ac:dyDescent="0.35">
      <c r="A17" s="95"/>
      <c r="B17" s="39" t="str">
        <f>IF('0'!A1=1,"Водопостачання; каналізація, поводження з відходами"," Water supply; sewerage, waste management and remediation")</f>
        <v>Водопостачання; каналізація, поводження з відходами</v>
      </c>
      <c r="C17" s="59">
        <v>18259.2</v>
      </c>
      <c r="D17" s="59">
        <v>20006.7</v>
      </c>
      <c r="E17" s="59">
        <v>19588.8</v>
      </c>
      <c r="F17" s="59">
        <v>19698.2</v>
      </c>
      <c r="G17" s="59">
        <v>18599.8</v>
      </c>
      <c r="H17" s="59">
        <v>21086</v>
      </c>
      <c r="I17" s="59">
        <v>24796.6</v>
      </c>
      <c r="J17" s="59">
        <v>28260</v>
      </c>
      <c r="K17" s="59">
        <v>32222.1</v>
      </c>
      <c r="L17" s="59">
        <v>39024.6</v>
      </c>
      <c r="M17" s="59">
        <v>41719</v>
      </c>
      <c r="N17" s="59">
        <v>50846.8</v>
      </c>
      <c r="O17" s="59">
        <v>45464.7</v>
      </c>
      <c r="P17" s="59">
        <v>48824.3</v>
      </c>
    </row>
    <row r="18" spans="1:16" ht="16.2" thickTop="1" x14ac:dyDescent="0.3">
      <c r="A18" s="96" t="str">
        <f>IF('0'!A1=1,"РЕГІОНИ","OBLAST")</f>
        <v>РЕГІОНИ</v>
      </c>
      <c r="B18" s="40" t="str">
        <f>IF('0'!A1=1,"АР Крим","AR of Crimea ")</f>
        <v>АР Крим</v>
      </c>
      <c r="C18" s="48" t="s">
        <v>0</v>
      </c>
      <c r="D18" s="48" t="s">
        <v>0</v>
      </c>
      <c r="E18" s="48" t="s">
        <v>0</v>
      </c>
      <c r="F18" s="48" t="s">
        <v>0</v>
      </c>
      <c r="G18" s="48" t="s">
        <v>0</v>
      </c>
      <c r="H18" s="48" t="s">
        <v>0</v>
      </c>
      <c r="I18" s="48" t="s">
        <v>0</v>
      </c>
      <c r="J18" s="48" t="s">
        <v>0</v>
      </c>
      <c r="K18" s="48" t="s">
        <v>0</v>
      </c>
      <c r="L18" s="48" t="s">
        <v>0</v>
      </c>
      <c r="M18" s="48" t="s">
        <v>0</v>
      </c>
      <c r="N18" s="48" t="s">
        <v>0</v>
      </c>
      <c r="O18" s="48" t="s">
        <v>0</v>
      </c>
    </row>
    <row r="19" spans="1:16" ht="15.6" x14ac:dyDescent="0.3">
      <c r="A19" s="96" t="e">
        <v>#REF!</v>
      </c>
      <c r="B19" s="40" t="str">
        <f>IF('0'!A1=1,"Вінницька","Vinnitsa")</f>
        <v>Вінницька</v>
      </c>
      <c r="C19" s="48">
        <v>18108.2</v>
      </c>
      <c r="D19" s="48" t="s">
        <v>0</v>
      </c>
      <c r="E19" s="48">
        <v>22535.1</v>
      </c>
      <c r="F19" s="48">
        <v>25503.4</v>
      </c>
      <c r="G19" s="48">
        <v>30859.8</v>
      </c>
      <c r="H19" s="48">
        <v>48962.8</v>
      </c>
      <c r="I19" s="48">
        <v>59673.2</v>
      </c>
      <c r="J19" s="48">
        <v>72200.7</v>
      </c>
      <c r="K19" s="48">
        <v>83144.2</v>
      </c>
      <c r="L19" s="48">
        <v>89046.399999999994</v>
      </c>
      <c r="M19" s="48">
        <v>90237.1</v>
      </c>
      <c r="N19" s="48" t="s">
        <v>0</v>
      </c>
      <c r="O19" s="48" t="s">
        <v>0</v>
      </c>
    </row>
    <row r="20" spans="1:16" ht="15.6" x14ac:dyDescent="0.3">
      <c r="A20" s="96" t="e">
        <v>#REF!</v>
      </c>
      <c r="B20" s="40" t="str">
        <f>IF('0'!A1=1,"Волинська","Volyn")</f>
        <v>Волинська</v>
      </c>
      <c r="C20" s="48">
        <v>8126.5</v>
      </c>
      <c r="D20" s="48" t="s">
        <v>0</v>
      </c>
      <c r="E20" s="48">
        <v>11298.3</v>
      </c>
      <c r="F20" s="48">
        <v>10906.3</v>
      </c>
      <c r="G20" s="48">
        <v>13682.9</v>
      </c>
      <c r="H20" s="48">
        <v>19425.8</v>
      </c>
      <c r="I20" s="48">
        <v>23378.3</v>
      </c>
      <c r="J20" s="48">
        <v>29214.7</v>
      </c>
      <c r="K20" s="48">
        <v>33423.199999999997</v>
      </c>
      <c r="L20" s="48">
        <v>34410.9</v>
      </c>
      <c r="M20" s="48">
        <v>35523.4</v>
      </c>
      <c r="N20" s="48" t="s">
        <v>0</v>
      </c>
      <c r="O20" s="48" t="s">
        <v>0</v>
      </c>
    </row>
    <row r="21" spans="1:16" ht="15.6" x14ac:dyDescent="0.3">
      <c r="A21" s="96" t="e">
        <v>#REF!</v>
      </c>
      <c r="B21" s="40" t="str">
        <f>IF('0'!A1=1,"Дніпропетровська","Dnipropetrovsk")</f>
        <v>Дніпропетровська</v>
      </c>
      <c r="C21" s="48">
        <v>166497.79999999999</v>
      </c>
      <c r="D21" s="48" t="s">
        <v>0</v>
      </c>
      <c r="E21" s="48">
        <v>220458.2</v>
      </c>
      <c r="F21" s="48">
        <v>217656.4</v>
      </c>
      <c r="G21" s="48">
        <v>252159</v>
      </c>
      <c r="H21" s="48">
        <v>302623.40000000002</v>
      </c>
      <c r="I21" s="48">
        <v>345505.8</v>
      </c>
      <c r="J21" s="48">
        <v>439478</v>
      </c>
      <c r="K21" s="48">
        <v>514358.9</v>
      </c>
      <c r="L21" s="48">
        <v>486682.4</v>
      </c>
      <c r="M21" s="48">
        <v>464138.4</v>
      </c>
      <c r="N21" s="48" t="s">
        <v>0</v>
      </c>
      <c r="O21" s="48" t="s">
        <v>0</v>
      </c>
    </row>
    <row r="22" spans="1:16" ht="15.6" x14ac:dyDescent="0.3">
      <c r="A22" s="96" t="e">
        <v>#REF!</v>
      </c>
      <c r="B22" s="40" t="str">
        <f>IF('0'!A1=1,"Донецька","Donetsk")</f>
        <v>Донецька</v>
      </c>
      <c r="C22" s="48">
        <v>203609.60000000001</v>
      </c>
      <c r="D22" s="48" t="s">
        <v>0</v>
      </c>
      <c r="E22" s="48">
        <v>242228.8</v>
      </c>
      <c r="F22" s="48">
        <v>220640.4</v>
      </c>
      <c r="G22" s="48">
        <v>181384.9</v>
      </c>
      <c r="H22" s="48">
        <v>190727</v>
      </c>
      <c r="I22" s="48">
        <v>212097.8</v>
      </c>
      <c r="J22" s="48">
        <v>266626.2</v>
      </c>
      <c r="K22" s="48">
        <v>322988.09999999998</v>
      </c>
      <c r="L22" s="48">
        <v>294819.7</v>
      </c>
      <c r="M22" s="48">
        <v>262788.3</v>
      </c>
      <c r="N22" s="48" t="s">
        <v>0</v>
      </c>
      <c r="O22" s="48" t="s">
        <v>0</v>
      </c>
    </row>
    <row r="23" spans="1:16" ht="15.6" x14ac:dyDescent="0.3">
      <c r="A23" s="96" t="e">
        <v>#REF!</v>
      </c>
      <c r="B23" s="40" t="str">
        <f>IF('0'!A1=1,"Житомирська","Zhytomyr")</f>
        <v>Житомирська</v>
      </c>
      <c r="C23" s="48">
        <v>12051.7</v>
      </c>
      <c r="D23" s="48" t="s">
        <v>0</v>
      </c>
      <c r="E23" s="48">
        <v>16352.9</v>
      </c>
      <c r="F23" s="48">
        <v>16412</v>
      </c>
      <c r="G23" s="48">
        <v>21094</v>
      </c>
      <c r="H23" s="48">
        <v>25737.599999999999</v>
      </c>
      <c r="I23" s="48">
        <v>33684.9</v>
      </c>
      <c r="J23" s="48">
        <v>41140</v>
      </c>
      <c r="K23" s="48">
        <v>50844</v>
      </c>
      <c r="L23" s="48">
        <v>50453.599999999999</v>
      </c>
      <c r="M23" s="48">
        <v>52824.5</v>
      </c>
      <c r="N23" s="48" t="s">
        <v>0</v>
      </c>
      <c r="O23" s="48" t="s">
        <v>0</v>
      </c>
    </row>
    <row r="24" spans="1:16" ht="15.6" x14ac:dyDescent="0.3">
      <c r="A24" s="96" t="e">
        <v>#REF!</v>
      </c>
      <c r="B24" s="40" t="str">
        <f>IF('0'!A1=1,"Закарпатська","Zakarpattya")</f>
        <v>Закарпатська</v>
      </c>
      <c r="C24" s="48">
        <v>7079.1</v>
      </c>
      <c r="D24" s="48" t="s">
        <v>0</v>
      </c>
      <c r="E24" s="48">
        <v>9956.7999999999993</v>
      </c>
      <c r="F24" s="48">
        <v>10035.9</v>
      </c>
      <c r="G24" s="48">
        <v>11153.3</v>
      </c>
      <c r="H24" s="48">
        <v>13872.5</v>
      </c>
      <c r="I24" s="48">
        <v>18471.900000000001</v>
      </c>
      <c r="J24" s="48">
        <v>22399.8</v>
      </c>
      <c r="K24" s="48">
        <v>25797</v>
      </c>
      <c r="L24" s="48">
        <v>26103</v>
      </c>
      <c r="M24" s="48">
        <v>27550.3</v>
      </c>
      <c r="N24" s="48" t="s">
        <v>0</v>
      </c>
      <c r="O24" s="48" t="s">
        <v>0</v>
      </c>
    </row>
    <row r="25" spans="1:16" ht="15.6" x14ac:dyDescent="0.3">
      <c r="A25" s="96" t="e">
        <v>#REF!</v>
      </c>
      <c r="B25" s="40" t="str">
        <f>IF('0'!A1=1,"Запорізька","Zaporizhya")</f>
        <v>Запорізька</v>
      </c>
      <c r="C25" s="48">
        <v>66917.3</v>
      </c>
      <c r="D25" s="48" t="s">
        <v>0</v>
      </c>
      <c r="E25" s="48">
        <v>82505.7</v>
      </c>
      <c r="F25" s="48">
        <v>78852.100000000006</v>
      </c>
      <c r="G25" s="48">
        <v>97812.3</v>
      </c>
      <c r="H25" s="48">
        <v>135314</v>
      </c>
      <c r="I25" s="48">
        <v>152940.29999999999</v>
      </c>
      <c r="J25" s="48">
        <v>197495.3</v>
      </c>
      <c r="K25" s="48">
        <v>220124.5</v>
      </c>
      <c r="L25" s="48">
        <v>202575.9</v>
      </c>
      <c r="M25" s="48">
        <v>200718.7</v>
      </c>
      <c r="N25" s="48" t="s">
        <v>0</v>
      </c>
      <c r="O25" s="48" t="s">
        <v>0</v>
      </c>
    </row>
    <row r="26" spans="1:16" ht="15.6" x14ac:dyDescent="0.3">
      <c r="A26" s="96" t="e">
        <v>#REF!</v>
      </c>
      <c r="B26" s="40" t="str">
        <f>IF('0'!A1=1,"Івано-Франківська","Ivano-Frankivsk")</f>
        <v>Івано-Франківська</v>
      </c>
      <c r="C26" s="48">
        <v>13837.6</v>
      </c>
      <c r="D26" s="48" t="s">
        <v>0</v>
      </c>
      <c r="E26" s="48">
        <v>25268.799999999999</v>
      </c>
      <c r="F26" s="48">
        <v>22014.400000000001</v>
      </c>
      <c r="G26" s="48">
        <v>25142.799999999999</v>
      </c>
      <c r="H26" s="48">
        <v>34741.9</v>
      </c>
      <c r="I26" s="48">
        <v>37267.599999999999</v>
      </c>
      <c r="J26" s="48">
        <v>48834.9</v>
      </c>
      <c r="K26" s="48">
        <v>75147.600000000006</v>
      </c>
      <c r="L26" s="48">
        <v>69272.399999999994</v>
      </c>
      <c r="M26" s="48">
        <v>67621.399999999994</v>
      </c>
      <c r="N26" s="48" t="s">
        <v>0</v>
      </c>
      <c r="O26" s="48" t="s">
        <v>0</v>
      </c>
    </row>
    <row r="27" spans="1:16" ht="15.6" x14ac:dyDescent="0.3">
      <c r="A27" s="96" t="e">
        <v>#REF!</v>
      </c>
      <c r="B27" s="40" t="str">
        <f>IF('0'!A1=1,"Київська","Kyiv")</f>
        <v>Київська</v>
      </c>
      <c r="C27" s="48">
        <v>38343.1</v>
      </c>
      <c r="D27" s="48" t="s">
        <v>0</v>
      </c>
      <c r="E27" s="48">
        <v>48581.4</v>
      </c>
      <c r="F27" s="48">
        <v>55580.5</v>
      </c>
      <c r="G27" s="48">
        <v>56477.9</v>
      </c>
      <c r="H27" s="48">
        <v>73838.600000000006</v>
      </c>
      <c r="I27" s="48">
        <v>97228.6</v>
      </c>
      <c r="J27" s="48">
        <v>112919.9</v>
      </c>
      <c r="K27" s="48">
        <v>143594.6</v>
      </c>
      <c r="L27" s="48">
        <v>136677.6</v>
      </c>
      <c r="M27" s="48">
        <v>157699.79999999999</v>
      </c>
      <c r="N27" s="48" t="s">
        <v>0</v>
      </c>
      <c r="O27" s="48" t="s">
        <v>0</v>
      </c>
    </row>
    <row r="28" spans="1:16" ht="15.6" x14ac:dyDescent="0.3">
      <c r="A28" s="96" t="e">
        <v>#REF!</v>
      </c>
      <c r="B28" s="40" t="str">
        <f>IF('0'!A1=1,"Кіровоградська","Kirovohrad")</f>
        <v>Кіровоградська</v>
      </c>
      <c r="C28" s="48">
        <v>9844.9</v>
      </c>
      <c r="D28" s="48" t="s">
        <v>0</v>
      </c>
      <c r="E28" s="48">
        <v>15610.7</v>
      </c>
      <c r="F28" s="48">
        <v>18265.5</v>
      </c>
      <c r="G28" s="48">
        <v>20359.099999999999</v>
      </c>
      <c r="H28" s="48">
        <v>23479.599999999999</v>
      </c>
      <c r="I28" s="48">
        <v>25175.5</v>
      </c>
      <c r="J28" s="48">
        <v>29578.9</v>
      </c>
      <c r="K28" s="48">
        <v>33609.800000000003</v>
      </c>
      <c r="L28" s="48">
        <v>38165.699999999997</v>
      </c>
      <c r="M28" s="48">
        <v>43249.5</v>
      </c>
      <c r="N28" s="48" t="s">
        <v>0</v>
      </c>
      <c r="O28" s="48" t="s">
        <v>0</v>
      </c>
    </row>
    <row r="29" spans="1:16" ht="15.6" x14ac:dyDescent="0.3">
      <c r="A29" s="96" t="e">
        <v>#REF!</v>
      </c>
      <c r="B29" s="40" t="str">
        <f>IF('0'!A1=1,"Луганська","Luhansk")</f>
        <v>Луганська</v>
      </c>
      <c r="C29" s="48">
        <v>73962.600000000006</v>
      </c>
      <c r="D29" s="48" t="s">
        <v>0</v>
      </c>
      <c r="E29" s="48">
        <v>84460.4</v>
      </c>
      <c r="F29" s="48">
        <v>72657</v>
      </c>
      <c r="G29" s="48">
        <v>39400.699999999997</v>
      </c>
      <c r="H29" s="48">
        <v>23865.599999999999</v>
      </c>
      <c r="I29" s="48">
        <v>37697.800000000003</v>
      </c>
      <c r="J29" s="48">
        <v>24472.9</v>
      </c>
      <c r="K29" s="48">
        <v>24135.7</v>
      </c>
      <c r="L29" s="48">
        <v>23691.8</v>
      </c>
      <c r="M29" s="48">
        <v>21844.400000000001</v>
      </c>
      <c r="N29" s="48" t="s">
        <v>0</v>
      </c>
      <c r="O29" s="48" t="s">
        <v>0</v>
      </c>
    </row>
    <row r="30" spans="1:16" ht="15.6" x14ac:dyDescent="0.3">
      <c r="A30" s="96" t="e">
        <v>#REF!</v>
      </c>
      <c r="B30" s="40" t="str">
        <f>IF('0'!A1=1,"Львівська","Lviv")</f>
        <v>Львівська</v>
      </c>
      <c r="C30" s="48">
        <v>25655.3</v>
      </c>
      <c r="D30" s="48" t="s">
        <v>0</v>
      </c>
      <c r="E30" s="48">
        <v>34874</v>
      </c>
      <c r="F30" s="48">
        <v>34620.5</v>
      </c>
      <c r="G30" s="48">
        <v>39584.5</v>
      </c>
      <c r="H30" s="48">
        <v>58502</v>
      </c>
      <c r="I30" s="48">
        <v>72385.8</v>
      </c>
      <c r="J30" s="48">
        <v>91457.3</v>
      </c>
      <c r="K30" s="48">
        <v>110454.9</v>
      </c>
      <c r="L30" s="48">
        <v>117172.1</v>
      </c>
      <c r="M30" s="48">
        <v>132998.6</v>
      </c>
      <c r="N30" s="48" t="s">
        <v>0</v>
      </c>
      <c r="O30" s="48" t="s">
        <v>0</v>
      </c>
    </row>
    <row r="31" spans="1:16" ht="15.6" x14ac:dyDescent="0.3">
      <c r="A31" s="96" t="e">
        <v>#REF!</v>
      </c>
      <c r="B31" s="40" t="str">
        <f>IF('0'!A1=1,"Миколаївська","Mykolayiv")</f>
        <v>Миколаївська</v>
      </c>
      <c r="C31" s="48">
        <v>18687.900000000001</v>
      </c>
      <c r="D31" s="48" t="s">
        <v>0</v>
      </c>
      <c r="E31" s="48">
        <v>24161.8</v>
      </c>
      <c r="F31" s="48">
        <v>22635.9</v>
      </c>
      <c r="G31" s="48">
        <v>25729.3</v>
      </c>
      <c r="H31" s="48">
        <v>34948.5</v>
      </c>
      <c r="I31" s="48">
        <v>46352.6</v>
      </c>
      <c r="J31" s="48">
        <v>53619.199999999997</v>
      </c>
      <c r="K31" s="48">
        <v>59884.7</v>
      </c>
      <c r="L31" s="48">
        <v>63426.1</v>
      </c>
      <c r="M31" s="48">
        <v>68612.600000000006</v>
      </c>
      <c r="N31" s="48" t="s">
        <v>0</v>
      </c>
      <c r="O31" s="48" t="s">
        <v>0</v>
      </c>
    </row>
    <row r="32" spans="1:16" ht="15.6" x14ac:dyDescent="0.3">
      <c r="A32" s="96" t="e">
        <v>#REF!</v>
      </c>
      <c r="B32" s="40" t="str">
        <f>IF('0'!A1=1,"Одеська","Odesa")</f>
        <v>Одеська</v>
      </c>
      <c r="C32" s="48">
        <v>31175.9</v>
      </c>
      <c r="D32" s="48" t="s">
        <v>0</v>
      </c>
      <c r="E32" s="48">
        <v>28438.7</v>
      </c>
      <c r="F32" s="48">
        <v>27737.5</v>
      </c>
      <c r="G32" s="48">
        <v>33763.599999999999</v>
      </c>
      <c r="H32" s="48">
        <v>53635.7</v>
      </c>
      <c r="I32" s="48">
        <v>58934.9</v>
      </c>
      <c r="J32" s="48">
        <v>67476.800000000003</v>
      </c>
      <c r="K32" s="48">
        <v>73728.100000000006</v>
      </c>
      <c r="L32" s="48">
        <v>74338.8</v>
      </c>
      <c r="M32" s="48">
        <v>91107</v>
      </c>
      <c r="N32" s="48" t="s">
        <v>0</v>
      </c>
      <c r="O32" s="48" t="s">
        <v>0</v>
      </c>
    </row>
    <row r="33" spans="1:15" ht="15.6" x14ac:dyDescent="0.3">
      <c r="A33" s="96" t="e">
        <v>#REF!</v>
      </c>
      <c r="B33" s="40" t="str">
        <f>IF('0'!A1=1,"Полтавська","Poltava")</f>
        <v>Полтавська</v>
      </c>
      <c r="C33" s="48">
        <v>59333.9</v>
      </c>
      <c r="D33" s="48" t="s">
        <v>0</v>
      </c>
      <c r="E33" s="48">
        <v>80587.600000000006</v>
      </c>
      <c r="F33" s="48">
        <v>71504.100000000006</v>
      </c>
      <c r="G33" s="48">
        <v>86730.3</v>
      </c>
      <c r="H33" s="48">
        <v>111375.1</v>
      </c>
      <c r="I33" s="48">
        <v>144233.29999999999</v>
      </c>
      <c r="J33" s="48">
        <v>193298.6</v>
      </c>
      <c r="K33" s="48">
        <v>212813.6</v>
      </c>
      <c r="L33" s="48">
        <v>193465.1</v>
      </c>
      <c r="M33" s="48">
        <v>186865</v>
      </c>
      <c r="N33" s="48" t="s">
        <v>0</v>
      </c>
      <c r="O33" s="48" t="s">
        <v>0</v>
      </c>
    </row>
    <row r="34" spans="1:15" ht="15.6" x14ac:dyDescent="0.3">
      <c r="A34" s="96" t="e">
        <v>#REF!</v>
      </c>
      <c r="B34" s="40" t="str">
        <f>IF('0'!A1=1,"Рівненська","Rivne")</f>
        <v>Рівненська</v>
      </c>
      <c r="C34" s="48">
        <v>12413</v>
      </c>
      <c r="D34" s="48" t="s">
        <v>0</v>
      </c>
      <c r="E34" s="48">
        <v>12211</v>
      </c>
      <c r="F34" s="48">
        <v>15704.2</v>
      </c>
      <c r="G34" s="48">
        <v>19165.900000000001</v>
      </c>
      <c r="H34" s="48">
        <v>26872.799999999999</v>
      </c>
      <c r="I34" s="48">
        <v>31166.9</v>
      </c>
      <c r="J34" s="48">
        <v>36664.699999999997</v>
      </c>
      <c r="K34" s="48">
        <v>40293.199999999997</v>
      </c>
      <c r="L34" s="48">
        <v>45515.7</v>
      </c>
      <c r="M34" s="48">
        <v>47265.8</v>
      </c>
      <c r="N34" s="48" t="s">
        <v>0</v>
      </c>
      <c r="O34" s="48" t="s">
        <v>0</v>
      </c>
    </row>
    <row r="35" spans="1:15" ht="15.6" x14ac:dyDescent="0.3">
      <c r="A35" s="96" t="e">
        <v>#REF!</v>
      </c>
      <c r="B35" s="40" t="str">
        <f>IF('0'!A1=1,"Сумська","Sumy ")</f>
        <v>Сумська</v>
      </c>
      <c r="C35" s="48">
        <v>14745.3</v>
      </c>
      <c r="D35" s="48" t="s">
        <v>0</v>
      </c>
      <c r="E35" s="48">
        <v>24978</v>
      </c>
      <c r="F35" s="48">
        <v>23981.8</v>
      </c>
      <c r="G35" s="48">
        <v>26665.9</v>
      </c>
      <c r="H35" s="48">
        <v>36804.6</v>
      </c>
      <c r="I35" s="48">
        <v>36167.300000000003</v>
      </c>
      <c r="J35" s="48">
        <v>42947.8</v>
      </c>
      <c r="K35" s="48">
        <v>52576.4</v>
      </c>
      <c r="L35" s="48">
        <v>49234.6</v>
      </c>
      <c r="M35" s="48">
        <v>48295.1</v>
      </c>
      <c r="N35" s="48" t="s">
        <v>0</v>
      </c>
      <c r="O35" s="48" t="s">
        <v>0</v>
      </c>
    </row>
    <row r="36" spans="1:15" ht="15.6" x14ac:dyDescent="0.3">
      <c r="A36" s="96" t="e">
        <v>#REF!</v>
      </c>
      <c r="B36" s="40" t="str">
        <f>IF('0'!A1=1,"Тернопільська","Ternopil ")</f>
        <v>Тернопільська</v>
      </c>
      <c r="C36" s="48">
        <v>5469.6</v>
      </c>
      <c r="D36" s="48" t="s">
        <v>0</v>
      </c>
      <c r="E36" s="48">
        <v>7739.4</v>
      </c>
      <c r="F36" s="48">
        <v>8124.6</v>
      </c>
      <c r="G36" s="48">
        <v>9448.5</v>
      </c>
      <c r="H36" s="48">
        <v>13541.2</v>
      </c>
      <c r="I36" s="48">
        <v>16485.7</v>
      </c>
      <c r="J36" s="48">
        <v>21684.7</v>
      </c>
      <c r="K36" s="48">
        <v>24818.5</v>
      </c>
      <c r="L36" s="48">
        <v>24898.1</v>
      </c>
      <c r="M36" s="48">
        <v>27008.400000000001</v>
      </c>
      <c r="N36" s="48" t="s">
        <v>0</v>
      </c>
      <c r="O36" s="48" t="s">
        <v>0</v>
      </c>
    </row>
    <row r="37" spans="1:15" ht="15.6" x14ac:dyDescent="0.3">
      <c r="A37" s="96" t="e">
        <v>#REF!</v>
      </c>
      <c r="B37" s="40" t="str">
        <f>IF('0'!A1=1,"Харківська","Kharkiv")</f>
        <v>Харківська</v>
      </c>
      <c r="C37" s="48">
        <v>52356.800000000003</v>
      </c>
      <c r="D37" s="48" t="s">
        <v>0</v>
      </c>
      <c r="E37" s="48">
        <v>77607.5</v>
      </c>
      <c r="F37" s="48">
        <v>78300.100000000006</v>
      </c>
      <c r="G37" s="48">
        <v>86798.9</v>
      </c>
      <c r="H37" s="48">
        <v>114253.1</v>
      </c>
      <c r="I37" s="48">
        <v>153666.6</v>
      </c>
      <c r="J37" s="48">
        <v>184703.4</v>
      </c>
      <c r="K37" s="48">
        <v>220439.4</v>
      </c>
      <c r="L37" s="48">
        <v>216021.2</v>
      </c>
      <c r="M37" s="48">
        <v>213542.8</v>
      </c>
      <c r="N37" s="48" t="s">
        <v>0</v>
      </c>
      <c r="O37" s="48" t="s">
        <v>0</v>
      </c>
    </row>
    <row r="38" spans="1:15" ht="15.6" x14ac:dyDescent="0.3">
      <c r="A38" s="96" t="e">
        <v>#REF!</v>
      </c>
      <c r="B38" s="40" t="str">
        <f>IF('0'!A1=1,"Херсонська","Kherson")</f>
        <v>Херсонська</v>
      </c>
      <c r="C38" s="48">
        <v>9570.7000000000007</v>
      </c>
      <c r="D38" s="48" t="s">
        <v>0</v>
      </c>
      <c r="E38" s="48">
        <v>10211.1</v>
      </c>
      <c r="F38" s="48">
        <v>10881.2</v>
      </c>
      <c r="G38" s="48">
        <v>12115.2</v>
      </c>
      <c r="H38" s="48">
        <v>17306.900000000001</v>
      </c>
      <c r="I38" s="48">
        <v>25717.1</v>
      </c>
      <c r="J38" s="48">
        <v>28118.7</v>
      </c>
      <c r="K38" s="48">
        <v>30691.200000000001</v>
      </c>
      <c r="L38" s="48">
        <v>28324.799999999999</v>
      </c>
      <c r="M38" s="48">
        <v>36382.9</v>
      </c>
      <c r="N38" s="48" t="s">
        <v>0</v>
      </c>
      <c r="O38" s="48" t="s">
        <v>0</v>
      </c>
    </row>
    <row r="39" spans="1:15" ht="15.6" x14ac:dyDescent="0.3">
      <c r="A39" s="96" t="e">
        <v>#REF!</v>
      </c>
      <c r="B39" s="40" t="str">
        <f>IF('0'!A1=1,"Хмельницька","Khmelnytskiy")</f>
        <v>Хмельницька</v>
      </c>
      <c r="C39" s="48">
        <v>11807.2</v>
      </c>
      <c r="D39" s="48" t="s">
        <v>0</v>
      </c>
      <c r="E39" s="48">
        <v>16618.900000000001</v>
      </c>
      <c r="F39" s="48">
        <v>17552.5</v>
      </c>
      <c r="G39" s="48">
        <v>19999.2</v>
      </c>
      <c r="H39" s="48">
        <v>27055.3</v>
      </c>
      <c r="I39" s="48">
        <v>33967.9</v>
      </c>
      <c r="J39" s="48">
        <v>40169.1</v>
      </c>
      <c r="K39" s="48">
        <v>43151</v>
      </c>
      <c r="L39" s="48">
        <v>43636.3</v>
      </c>
      <c r="M39" s="48">
        <v>51066.1</v>
      </c>
      <c r="N39" s="48" t="s">
        <v>0</v>
      </c>
      <c r="O39" s="48" t="s">
        <v>0</v>
      </c>
    </row>
    <row r="40" spans="1:15" ht="15.6" x14ac:dyDescent="0.3">
      <c r="A40" s="96" t="e">
        <v>#REF!</v>
      </c>
      <c r="B40" s="40" t="str">
        <f>IF('0'!A1=1,"Черкаська","Cherkasy")</f>
        <v>Черкаська</v>
      </c>
      <c r="C40" s="48">
        <v>23845.1</v>
      </c>
      <c r="D40" s="48" t="s">
        <v>0</v>
      </c>
      <c r="E40" s="48">
        <v>32379.7</v>
      </c>
      <c r="F40" s="48">
        <v>30730.5</v>
      </c>
      <c r="G40" s="48">
        <v>37865.199999999997</v>
      </c>
      <c r="H40" s="48">
        <v>48423.5</v>
      </c>
      <c r="I40" s="48">
        <v>58321.3</v>
      </c>
      <c r="J40" s="48">
        <v>68686.100000000006</v>
      </c>
      <c r="K40" s="48">
        <v>43151</v>
      </c>
      <c r="L40" s="48">
        <v>98280.2</v>
      </c>
      <c r="M40" s="48">
        <v>106593</v>
      </c>
      <c r="N40" s="48" t="s">
        <v>0</v>
      </c>
      <c r="O40" s="48" t="s">
        <v>0</v>
      </c>
    </row>
    <row r="41" spans="1:15" ht="15.6" x14ac:dyDescent="0.3">
      <c r="A41" s="96" t="e">
        <v>#REF!</v>
      </c>
      <c r="B41" s="40" t="str">
        <f>IF('0'!A1=1,"Чернівецька","Chernivtsi")</f>
        <v>Чернівецька</v>
      </c>
      <c r="C41" s="48">
        <v>3192.6</v>
      </c>
      <c r="D41" s="48" t="s">
        <v>0</v>
      </c>
      <c r="E41" s="48">
        <v>4108.8</v>
      </c>
      <c r="F41" s="48">
        <v>4099.7</v>
      </c>
      <c r="G41" s="48">
        <v>4676</v>
      </c>
      <c r="H41" s="48">
        <v>6824.4</v>
      </c>
      <c r="I41" s="48">
        <v>9425.5</v>
      </c>
      <c r="J41" s="48">
        <v>11470.9</v>
      </c>
      <c r="K41" s="48">
        <v>15873.1</v>
      </c>
      <c r="L41" s="48">
        <v>14082.4</v>
      </c>
      <c r="M41" s="48">
        <v>15463.4</v>
      </c>
      <c r="N41" s="48" t="s">
        <v>0</v>
      </c>
      <c r="O41" s="48" t="s">
        <v>0</v>
      </c>
    </row>
    <row r="42" spans="1:15" ht="15.6" x14ac:dyDescent="0.3">
      <c r="A42" s="96" t="e">
        <v>#REF!</v>
      </c>
      <c r="B42" s="40" t="str">
        <f>IF('0'!A1=1,"Чернігівська","Chernihiv")</f>
        <v>Чернігівська</v>
      </c>
      <c r="C42" s="48">
        <v>12153.4</v>
      </c>
      <c r="D42" s="48" t="s">
        <v>0</v>
      </c>
      <c r="E42" s="48">
        <v>19396.400000000001</v>
      </c>
      <c r="F42" s="48">
        <v>18769.3</v>
      </c>
      <c r="G42" s="48">
        <v>21901.5</v>
      </c>
      <c r="H42" s="48">
        <v>28063.8</v>
      </c>
      <c r="I42" s="48">
        <v>38682</v>
      </c>
      <c r="J42" s="48">
        <v>47369.4</v>
      </c>
      <c r="K42" s="48">
        <v>44374.2</v>
      </c>
      <c r="L42" s="48">
        <v>42020.3</v>
      </c>
      <c r="M42" s="48">
        <v>40149.4</v>
      </c>
      <c r="N42" s="48" t="s">
        <v>0</v>
      </c>
      <c r="O42" s="48" t="s">
        <v>0</v>
      </c>
    </row>
    <row r="43" spans="1:15" ht="15.6" x14ac:dyDescent="0.3">
      <c r="A43" s="96" t="e">
        <v>#REF!</v>
      </c>
      <c r="B43" s="40" t="str">
        <f>IF('0'!A1=1,"м. Київ","Kyiv")</f>
        <v>м. Київ</v>
      </c>
      <c r="C43" s="48">
        <v>144893.6</v>
      </c>
      <c r="D43" s="48" t="s">
        <v>0</v>
      </c>
      <c r="E43" s="48">
        <v>216366.2</v>
      </c>
      <c r="F43" s="48">
        <v>210410.1</v>
      </c>
      <c r="G43" s="48">
        <v>254868.4</v>
      </c>
      <c r="H43" s="48">
        <v>306408</v>
      </c>
      <c r="I43" s="48">
        <v>389401.4</v>
      </c>
      <c r="J43" s="48">
        <v>453833.9</v>
      </c>
      <c r="K43" s="48">
        <v>509867.6</v>
      </c>
      <c r="L43" s="48">
        <v>557068</v>
      </c>
      <c r="M43" s="48">
        <v>746823.2</v>
      </c>
      <c r="N43" s="48" t="s">
        <v>0</v>
      </c>
      <c r="O43" s="48" t="s">
        <v>0</v>
      </c>
    </row>
    <row r="44" spans="1:15" ht="16.2" thickBot="1" x14ac:dyDescent="0.35">
      <c r="A44" s="97"/>
      <c r="B44" s="50" t="str">
        <f>IF('0'!A1=1,"м. Севастополь","Sevastopоl")</f>
        <v>м. Севастополь</v>
      </c>
      <c r="C44" s="49" t="s">
        <v>0</v>
      </c>
      <c r="D44" s="49" t="s">
        <v>0</v>
      </c>
      <c r="E44" s="49" t="s">
        <v>0</v>
      </c>
      <c r="F44" s="49" t="s">
        <v>0</v>
      </c>
      <c r="G44" s="49" t="s">
        <v>0</v>
      </c>
      <c r="H44" s="49" t="s">
        <v>0</v>
      </c>
      <c r="I44" s="49" t="s">
        <v>0</v>
      </c>
      <c r="J44" s="49" t="s">
        <v>0</v>
      </c>
      <c r="K44" s="49" t="s">
        <v>0</v>
      </c>
      <c r="L44" s="49" t="s">
        <v>0</v>
      </c>
      <c r="M44" s="49" t="s">
        <v>0</v>
      </c>
      <c r="N44" s="49" t="s">
        <v>0</v>
      </c>
      <c r="O44" s="49" t="s">
        <v>0</v>
      </c>
    </row>
    <row r="45" spans="1:15" ht="15" thickTop="1" x14ac:dyDescent="0.3">
      <c r="C45" s="64"/>
    </row>
    <row r="46" spans="1:15" ht="16.5" customHeight="1" x14ac:dyDescent="0.3">
      <c r="A46" s="98" t="str">
        <f>IF('0'!A1=1,"* Дані наведено без урахування тимчасово окупованої території АР Крим і м.Севастополя; з 2014 року також без частини тимчасово окупованих територій у Донецькій та Луганській областях.","* Data excluding the temporarily occupied territories of the AR of Crimea, the city of Sevastopol; since 2014 part of temporarily occupied territories in the Donetsk and Luhansk regions.")</f>
        <v>* Дані наведено без урахування тимчасово окупованої території АР Крим і м.Севастополя; з 2014 року також без частини тимчасово окупованих територій у Донецькій та Луганській областях.</v>
      </c>
      <c r="B46" s="98"/>
      <c r="C46" s="99"/>
      <c r="D46" s="99"/>
      <c r="E46" s="99"/>
      <c r="F46" s="99"/>
      <c r="G46" s="99"/>
      <c r="H46" s="99"/>
      <c r="I46" s="99"/>
      <c r="J46" s="99"/>
      <c r="K46" s="99"/>
    </row>
    <row r="48" spans="1:15" ht="22.5" customHeight="1" x14ac:dyDescent="0.3">
      <c r="A48" s="98"/>
      <c r="B48" s="98"/>
    </row>
    <row r="49" spans="3:3" x14ac:dyDescent="0.3">
      <c r="C49" s="64"/>
    </row>
    <row r="50" spans="3:3" x14ac:dyDescent="0.3">
      <c r="C50" s="64"/>
    </row>
    <row r="51" spans="3:3" x14ac:dyDescent="0.3">
      <c r="C51" s="64"/>
    </row>
    <row r="52" spans="3:3" x14ac:dyDescent="0.3">
      <c r="C52" s="65"/>
    </row>
    <row r="53" spans="3:3" x14ac:dyDescent="0.3">
      <c r="C53" s="65"/>
    </row>
    <row r="54" spans="3:3" x14ac:dyDescent="0.3">
      <c r="C54" s="65"/>
    </row>
  </sheetData>
  <sheetProtection password="CF16" sheet="1" objects="1" scenarios="1"/>
  <mergeCells count="5">
    <mergeCell ref="A2:B2"/>
    <mergeCell ref="A3:A17"/>
    <mergeCell ref="A18:A44"/>
    <mergeCell ref="A48:B48"/>
    <mergeCell ref="A46:K46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showRowColHeaders="0" workbookViewId="0">
      <selection activeCell="K2" sqref="K2"/>
    </sheetView>
  </sheetViews>
  <sheetFormatPr defaultColWidth="9.109375" defaultRowHeight="14.4" x14ac:dyDescent="0.3"/>
  <cols>
    <col min="1" max="1" width="8.6640625" style="1" customWidth="1"/>
    <col min="2" max="2" width="45.6640625" style="1" customWidth="1"/>
    <col min="3" max="9" width="10.77734375" style="1" customWidth="1"/>
    <col min="10" max="10" width="10.6640625" style="1" customWidth="1"/>
    <col min="11" max="13" width="10.77734375" style="1" customWidth="1"/>
    <col min="14" max="16384" width="9.109375" style="1"/>
  </cols>
  <sheetData>
    <row r="1" spans="1:11" ht="15.75" customHeight="1" thickBot="1" x14ac:dyDescent="0.35">
      <c r="A1" s="35" t="str">
        <f>IF('0'!A1=1,"до змісту","to title")</f>
        <v>до змісту</v>
      </c>
      <c r="B1" s="43"/>
    </row>
    <row r="2" spans="1:11" ht="33.6" customHeight="1" thickTop="1" x14ac:dyDescent="0.3">
      <c r="A2" s="100" t="str">
        <f>IF('0'!A1=1,"Індекси промислової продукції за видами діяльності (до попереднього року, %), 2016=100%*","Industrial products Indices (to previous year, %), 2016=100%*")</f>
        <v>Індекси промислової продукції за видами діяльності (до попереднього року, %), 2016=100%*</v>
      </c>
      <c r="B2" s="101"/>
      <c r="C2" s="8">
        <v>2015</v>
      </c>
      <c r="D2" s="8">
        <v>2016</v>
      </c>
      <c r="E2" s="8">
        <v>2017</v>
      </c>
      <c r="F2" s="8">
        <v>2018</v>
      </c>
      <c r="G2" s="8">
        <v>2019</v>
      </c>
      <c r="H2" s="8">
        <v>2020</v>
      </c>
      <c r="I2" s="8">
        <v>2021</v>
      </c>
      <c r="J2" s="8">
        <v>2022</v>
      </c>
      <c r="K2" s="8">
        <v>2023</v>
      </c>
    </row>
    <row r="3" spans="1:11" ht="33" customHeight="1" x14ac:dyDescent="0.3">
      <c r="A3" s="102" t="str">
        <f>IF('0'!A1=1,"ВИДИ ЕКОНОМІЧНОЇ ДІЯЛЬНОСТІ","TYPES OF ECONOMIC ACTIVITY")</f>
        <v>ВИДИ ЕКОНОМІЧНОЇ ДІЯЛЬНОСТІ</v>
      </c>
      <c r="B3" s="36" t="str">
        <f>IF('0'!A1=1,"Промисловість","Industry")</f>
        <v>Промисловість</v>
      </c>
      <c r="C3" s="14">
        <v>87.7</v>
      </c>
      <c r="D3" s="14">
        <v>104</v>
      </c>
      <c r="E3" s="14">
        <v>101.1</v>
      </c>
      <c r="F3" s="14">
        <v>103</v>
      </c>
      <c r="G3" s="14">
        <v>99.5</v>
      </c>
      <c r="H3" s="14">
        <v>95.5</v>
      </c>
      <c r="I3" s="14">
        <v>101.9</v>
      </c>
      <c r="J3" s="14">
        <v>63.3</v>
      </c>
      <c r="K3" s="14">
        <v>106.8</v>
      </c>
    </row>
    <row r="4" spans="1:11" ht="33" customHeight="1" x14ac:dyDescent="0.3">
      <c r="A4" s="94"/>
      <c r="B4" s="36" t="str">
        <f>IF('0'!A1=1,"Добувна  та переробна промисловість","Mining and manufacturing")</f>
        <v>Добувна  та переробна промисловість</v>
      </c>
      <c r="C4" s="14">
        <v>87.9</v>
      </c>
      <c r="D4" s="14">
        <v>104.1</v>
      </c>
      <c r="E4" s="14">
        <v>102.4</v>
      </c>
      <c r="F4" s="14">
        <v>103</v>
      </c>
      <c r="G4" s="14">
        <v>100.2</v>
      </c>
      <c r="H4" s="14">
        <v>95</v>
      </c>
      <c r="I4" s="14">
        <v>102.1</v>
      </c>
      <c r="J4" s="14">
        <v>62.3</v>
      </c>
      <c r="K4" s="14">
        <v>108.2</v>
      </c>
    </row>
    <row r="5" spans="1:11" ht="33" customHeight="1" x14ac:dyDescent="0.3">
      <c r="A5" s="94"/>
      <c r="B5" s="36" t="str">
        <f>IF('0'!A1=1,"Добувна промисловість і розроблення кар`єрів","Mining and quarrying")</f>
        <v>Добувна промисловість і розроблення кар`єрів</v>
      </c>
      <c r="C5" s="14">
        <v>89.8</v>
      </c>
      <c r="D5" s="14">
        <v>101.1</v>
      </c>
      <c r="E5" s="14">
        <v>96.5</v>
      </c>
      <c r="F5" s="14">
        <v>103.4</v>
      </c>
      <c r="G5" s="14">
        <v>98.4</v>
      </c>
      <c r="H5" s="14">
        <v>97</v>
      </c>
      <c r="I5" s="14">
        <v>101.4</v>
      </c>
      <c r="J5" s="14">
        <v>70</v>
      </c>
      <c r="K5" s="14">
        <v>97.9</v>
      </c>
    </row>
    <row r="6" spans="1:11" ht="33" customHeight="1" x14ac:dyDescent="0.3">
      <c r="A6" s="94"/>
      <c r="B6" s="38" t="str">
        <f>IF('0'!A1=1,"добування кам`яного та бурого вугілля","mining of coal and lignite")</f>
        <v>добування кам`яного та бурого вугілля</v>
      </c>
      <c r="C6" s="11">
        <v>63.7</v>
      </c>
      <c r="D6" s="11">
        <v>105.6</v>
      </c>
      <c r="E6" s="11">
        <v>83.2</v>
      </c>
      <c r="F6" s="11">
        <v>106.1</v>
      </c>
      <c r="G6" s="11">
        <v>96.9</v>
      </c>
      <c r="H6" s="11">
        <v>86.3</v>
      </c>
      <c r="I6" s="11">
        <v>107</v>
      </c>
      <c r="J6" s="11">
        <v>92.3</v>
      </c>
      <c r="K6" s="11">
        <v>97</v>
      </c>
    </row>
    <row r="7" spans="1:11" ht="33" customHeight="1" x14ac:dyDescent="0.3">
      <c r="A7" s="94"/>
      <c r="B7" s="38" t="str">
        <f>IF('0'!A1=1,"добування сирої нафти та природного газу","extraction of crude petroleum and natural gas")</f>
        <v>добування сирої нафти та природного газу</v>
      </c>
      <c r="C7" s="11">
        <v>96.9</v>
      </c>
      <c r="D7" s="11">
        <v>99.1</v>
      </c>
      <c r="E7" s="11">
        <v>101.8</v>
      </c>
      <c r="F7" s="11">
        <v>102.5</v>
      </c>
      <c r="G7" s="11">
        <v>100.3</v>
      </c>
      <c r="H7" s="11">
        <v>98.1</v>
      </c>
      <c r="I7" s="11">
        <v>97.8</v>
      </c>
      <c r="J7" s="11">
        <v>91.8</v>
      </c>
      <c r="K7" s="11">
        <v>100</v>
      </c>
    </row>
    <row r="8" spans="1:11" ht="33" customHeight="1" x14ac:dyDescent="0.3">
      <c r="A8" s="94"/>
      <c r="B8" s="38" t="str">
        <f>IF('0'!A1=1,"добування металевих руд","mining of metal ores")</f>
        <v>добування металевих руд</v>
      </c>
      <c r="C8" s="11">
        <v>92.5</v>
      </c>
      <c r="D8" s="11">
        <v>101.2</v>
      </c>
      <c r="E8" s="11">
        <v>91.5</v>
      </c>
      <c r="F8" s="11">
        <v>104.4</v>
      </c>
      <c r="G8" s="11">
        <v>97.1</v>
      </c>
      <c r="H8" s="11">
        <v>97.6</v>
      </c>
      <c r="I8" s="11">
        <v>102.5</v>
      </c>
      <c r="J8" s="11">
        <v>38.299999999999997</v>
      </c>
      <c r="K8" s="11">
        <v>89.8</v>
      </c>
    </row>
    <row r="9" spans="1:11" ht="33" customHeight="1" x14ac:dyDescent="0.3">
      <c r="A9" s="94"/>
      <c r="B9" s="36" t="str">
        <f>IF('0'!A1=1,"Переробна промисловість","Manufacturing")</f>
        <v>Переробна промисловість</v>
      </c>
      <c r="C9" s="14">
        <v>86.9</v>
      </c>
      <c r="D9" s="14">
        <v>105.6</v>
      </c>
      <c r="E9" s="14">
        <v>105.2</v>
      </c>
      <c r="F9" s="14">
        <v>102.9</v>
      </c>
      <c r="G9" s="14">
        <v>100.9</v>
      </c>
      <c r="H9" s="14">
        <v>94.1</v>
      </c>
      <c r="I9" s="14">
        <v>102.4</v>
      </c>
      <c r="J9" s="14">
        <v>59</v>
      </c>
      <c r="K9" s="14">
        <v>113.3</v>
      </c>
    </row>
    <row r="10" spans="1:11" ht="29.25" customHeight="1" x14ac:dyDescent="0.3">
      <c r="A10" s="94"/>
      <c r="B10" s="38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10" s="11">
        <v>89.1</v>
      </c>
      <c r="D10" s="11">
        <v>107.4</v>
      </c>
      <c r="E10" s="11">
        <v>106.3</v>
      </c>
      <c r="F10" s="11">
        <v>98.7</v>
      </c>
      <c r="G10" s="11">
        <v>103.3</v>
      </c>
      <c r="H10" s="11">
        <v>99.2</v>
      </c>
      <c r="I10" s="11">
        <v>94.6</v>
      </c>
      <c r="J10" s="11">
        <v>78.400000000000006</v>
      </c>
      <c r="K10" s="11">
        <v>115.6</v>
      </c>
    </row>
    <row r="11" spans="1:11" ht="30" customHeight="1" x14ac:dyDescent="0.3">
      <c r="A11" s="94"/>
      <c r="B11" s="38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11" s="11">
        <v>96.5</v>
      </c>
      <c r="D11" s="11">
        <v>107.9</v>
      </c>
      <c r="E11" s="11">
        <v>109.7</v>
      </c>
      <c r="F11" s="11">
        <v>96.6</v>
      </c>
      <c r="G11" s="11">
        <v>92.5</v>
      </c>
      <c r="H11" s="11">
        <v>93.9</v>
      </c>
      <c r="I11" s="11">
        <v>102.3</v>
      </c>
      <c r="J11" s="11">
        <v>74</v>
      </c>
      <c r="K11" s="11">
        <v>100.7</v>
      </c>
    </row>
    <row r="12" spans="1:11" ht="50.25" customHeight="1" x14ac:dyDescent="0.3">
      <c r="A12" s="94"/>
      <c r="B12" s="38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12" s="11">
        <v>77.400000000000006</v>
      </c>
      <c r="D12" s="11">
        <v>98.7</v>
      </c>
      <c r="E12" s="11">
        <v>108.8</v>
      </c>
      <c r="F12" s="11">
        <v>102.2</v>
      </c>
      <c r="G12" s="11">
        <v>94.8</v>
      </c>
      <c r="H12" s="11">
        <v>97.1</v>
      </c>
      <c r="I12" s="11">
        <v>105.6</v>
      </c>
      <c r="J12" s="11">
        <v>63.9</v>
      </c>
      <c r="K12" s="11">
        <v>104.8</v>
      </c>
    </row>
    <row r="13" spans="1:11" ht="28.5" customHeight="1" x14ac:dyDescent="0.3">
      <c r="A13" s="94"/>
      <c r="B13" s="38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3" s="11">
        <v>82.7</v>
      </c>
      <c r="D13" s="11">
        <v>106.8</v>
      </c>
      <c r="E13" s="11">
        <v>93.4</v>
      </c>
      <c r="F13" s="11">
        <v>106.8</v>
      </c>
      <c r="G13" s="11">
        <v>103.1</v>
      </c>
      <c r="H13" s="11">
        <v>98</v>
      </c>
      <c r="I13" s="11">
        <v>105.4</v>
      </c>
      <c r="J13" s="11">
        <v>33.4</v>
      </c>
      <c r="K13" s="11">
        <v>68.599999999999994</v>
      </c>
    </row>
    <row r="14" spans="1:11" ht="30.75" customHeight="1" x14ac:dyDescent="0.3">
      <c r="A14" s="94"/>
      <c r="B14" s="38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4" s="11">
        <v>81.900000000000006</v>
      </c>
      <c r="D14" s="11">
        <v>103.2</v>
      </c>
      <c r="E14" s="11">
        <v>102.3</v>
      </c>
      <c r="F14" s="11">
        <v>115.3</v>
      </c>
      <c r="G14" s="11">
        <v>112.9</v>
      </c>
      <c r="H14" s="11">
        <v>105.1</v>
      </c>
      <c r="I14" s="11">
        <v>99.9</v>
      </c>
      <c r="J14" s="11">
        <v>38.200000000000003</v>
      </c>
      <c r="K14" s="11">
        <v>117.7</v>
      </c>
    </row>
    <row r="15" spans="1:11" ht="33.75" customHeight="1" x14ac:dyDescent="0.3">
      <c r="A15" s="94"/>
      <c r="B15" s="38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5" s="11">
        <v>91.9</v>
      </c>
      <c r="D15" s="11">
        <v>110.4</v>
      </c>
      <c r="E15" s="11">
        <v>103.6</v>
      </c>
      <c r="F15" s="11">
        <v>95</v>
      </c>
      <c r="G15" s="11">
        <v>103.7</v>
      </c>
      <c r="H15" s="11">
        <v>103</v>
      </c>
      <c r="I15" s="11">
        <v>97.4</v>
      </c>
      <c r="J15" s="11">
        <v>70.2</v>
      </c>
      <c r="K15" s="11">
        <v>103.1</v>
      </c>
    </row>
    <row r="16" spans="1:11" ht="50.25" customHeight="1" x14ac:dyDescent="0.3">
      <c r="A16" s="94"/>
      <c r="B16" s="38" t="str">
        <f>IF('0'!A1=1,"виробництво гумових і пластмасових виробів; іншої неметалевої мінеральної продукціі",)</f>
        <v>виробництво гумових і пластмасових виробів; іншої неметалевої мінеральної продукціі</v>
      </c>
      <c r="C16" s="11">
        <v>95</v>
      </c>
      <c r="D16" s="11">
        <v>111.1</v>
      </c>
      <c r="E16" s="11">
        <v>105.3</v>
      </c>
      <c r="F16" s="11">
        <v>100.8</v>
      </c>
      <c r="G16" s="11">
        <v>106.7</v>
      </c>
      <c r="H16" s="11">
        <v>100.1</v>
      </c>
      <c r="I16" s="11">
        <v>109.8</v>
      </c>
      <c r="J16" s="11">
        <v>43.7</v>
      </c>
      <c r="K16" s="11">
        <v>122.6</v>
      </c>
    </row>
    <row r="17" spans="1:11" ht="34.5" customHeight="1" x14ac:dyDescent="0.3">
      <c r="A17" s="94"/>
      <c r="B17" s="38" t="str">
        <f>IF('0'!A1=1,"виробництво  іншої неметалевої мінеральної продукціі","manufacture of other non-metallic mineral products")</f>
        <v>виробництво  іншої неметалевої мінеральної продукціі</v>
      </c>
      <c r="C17" s="11">
        <v>97</v>
      </c>
      <c r="D17" s="11">
        <v>111.1</v>
      </c>
      <c r="E17" s="11">
        <v>104.8</v>
      </c>
      <c r="F17" s="11">
        <v>98.6</v>
      </c>
      <c r="G17" s="11">
        <v>109.4</v>
      </c>
      <c r="H17" s="11">
        <v>101.2</v>
      </c>
      <c r="I17" s="11">
        <v>113.4</v>
      </c>
      <c r="J17" s="11">
        <v>35.200000000000003</v>
      </c>
      <c r="K17" s="11">
        <v>127.7</v>
      </c>
    </row>
    <row r="18" spans="1:11" ht="27.75" customHeight="1" x14ac:dyDescent="0.3">
      <c r="A18" s="94"/>
      <c r="B18" s="38" t="str">
        <f>IF('0'!A1=1,"металургійне виробництво","manufacture of basic metals")</f>
        <v>металургійне виробництво</v>
      </c>
      <c r="C18" s="11">
        <v>86.9</v>
      </c>
      <c r="D18" s="11">
        <v>105.2</v>
      </c>
      <c r="E18" s="11">
        <v>94.5</v>
      </c>
      <c r="F18" s="11">
        <v>99.9</v>
      </c>
      <c r="G18" s="11">
        <v>97.8</v>
      </c>
      <c r="H18" s="11">
        <v>91.5</v>
      </c>
      <c r="I18" s="11">
        <v>105.8</v>
      </c>
      <c r="J18" s="11">
        <v>37.6</v>
      </c>
      <c r="K18" s="11">
        <v>109</v>
      </c>
    </row>
    <row r="19" spans="1:11" ht="27.75" customHeight="1" x14ac:dyDescent="0.3">
      <c r="A19" s="94"/>
      <c r="B19" s="38" t="str">
        <f>IF('0'!A1=1,"машинобудування","Engineering")</f>
        <v>машинобудування</v>
      </c>
      <c r="C19" s="11">
        <v>85.2</v>
      </c>
      <c r="D19" s="11">
        <v>101.8</v>
      </c>
      <c r="E19" s="11">
        <v>111.7</v>
      </c>
      <c r="F19" s="11">
        <v>112.4</v>
      </c>
      <c r="G19" s="11">
        <v>97.8</v>
      </c>
      <c r="H19" s="11">
        <v>82.4</v>
      </c>
      <c r="I19" s="11">
        <v>108.5</v>
      </c>
      <c r="J19" s="11">
        <v>56.9</v>
      </c>
      <c r="K19" s="11">
        <v>118.4</v>
      </c>
    </row>
    <row r="20" spans="1:11" ht="35.25" customHeight="1" x14ac:dyDescent="0.3">
      <c r="A20" s="94"/>
      <c r="B20" s="38" t="str">
        <f>IF('0'!A1=1,"виробництво комп'ютерів, електронної та оптичної продукції","Manufacture of computer, electronic and optical products")</f>
        <v>виробництво комп'ютерів, електронної та оптичної продукції</v>
      </c>
      <c r="C20" s="11">
        <v>71</v>
      </c>
      <c r="D20" s="11">
        <v>109.3</v>
      </c>
      <c r="E20" s="11">
        <v>119.6</v>
      </c>
      <c r="F20" s="11">
        <v>122.8</v>
      </c>
      <c r="G20" s="11">
        <v>91.6</v>
      </c>
      <c r="H20" s="11">
        <v>75.2</v>
      </c>
      <c r="I20" s="11">
        <v>110</v>
      </c>
      <c r="J20" s="11">
        <v>58.9</v>
      </c>
      <c r="K20" s="11">
        <v>160.80000000000001</v>
      </c>
    </row>
    <row r="21" spans="1:11" ht="15.75" customHeight="1" x14ac:dyDescent="0.3">
      <c r="A21" s="94"/>
      <c r="B21" s="38" t="str">
        <f>IF('0'!A1=1,"виробництво електричного устатковання","Manufacture of electrical equipments")</f>
        <v>виробництво електричного устатковання</v>
      </c>
      <c r="C21" s="11">
        <v>83</v>
      </c>
      <c r="D21" s="11">
        <v>107.7</v>
      </c>
      <c r="E21" s="11">
        <v>113</v>
      </c>
      <c r="F21" s="11">
        <v>105.2</v>
      </c>
      <c r="G21" s="11">
        <v>94.7</v>
      </c>
      <c r="H21" s="11">
        <v>99.1</v>
      </c>
      <c r="I21" s="11">
        <v>119.3</v>
      </c>
      <c r="J21" s="11">
        <v>65.8</v>
      </c>
      <c r="K21" s="11">
        <v>111.3</v>
      </c>
    </row>
    <row r="22" spans="1:11" ht="49.5" customHeight="1" x14ac:dyDescent="0.3">
      <c r="A22" s="94"/>
      <c r="B22" s="38" t="str">
        <f>IF('0'!A1=1,"виробництво машин і устатковання, не віднесених до інших угруповань","Manufacture of machinery and equipment n.e.c.")</f>
        <v>виробництво машин і устатковання, не віднесених до інших угруповань</v>
      </c>
      <c r="C22" s="11">
        <v>91.1</v>
      </c>
      <c r="D22" s="11">
        <v>100</v>
      </c>
      <c r="E22" s="11">
        <v>104.4</v>
      </c>
      <c r="F22" s="11">
        <v>110.7</v>
      </c>
      <c r="G22" s="11">
        <v>102.5</v>
      </c>
      <c r="H22" s="11">
        <v>84</v>
      </c>
      <c r="I22" s="11">
        <v>103.1</v>
      </c>
      <c r="J22" s="11">
        <v>40.6</v>
      </c>
      <c r="K22" s="11">
        <v>108.6</v>
      </c>
    </row>
    <row r="23" spans="1:11" ht="49.5" customHeight="1" x14ac:dyDescent="0.3">
      <c r="A23" s="94"/>
      <c r="B23" s="38" t="str">
        <f>IF('0'!A1=1,"виробництво автотранспортних засобів, причепів і напівпричепів та інших транспортних засобів","Manufacture of motor vehicles, trailers and semi-trailers and other transport equipment")</f>
        <v>виробництво автотранспортних засобів, причепів і напівпричепів та інших транспортних засобів</v>
      </c>
      <c r="C23" s="11">
        <v>84.4</v>
      </c>
      <c r="D23" s="11">
        <v>99</v>
      </c>
      <c r="E23" s="11">
        <v>116.6</v>
      </c>
      <c r="F23" s="11">
        <v>115.3</v>
      </c>
      <c r="G23" s="11">
        <v>96.8</v>
      </c>
      <c r="H23" s="11">
        <v>74.599999999999994</v>
      </c>
      <c r="I23" s="85">
        <v>106.9</v>
      </c>
      <c r="J23" s="85">
        <v>66.900000000000006</v>
      </c>
      <c r="K23" s="85">
        <v>119.6</v>
      </c>
    </row>
    <row r="24" spans="1:11" ht="48" customHeight="1" x14ac:dyDescent="0.3">
      <c r="A24" s="94"/>
      <c r="B24" s="38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24" s="11">
        <v>83</v>
      </c>
      <c r="D24" s="11">
        <v>106.2</v>
      </c>
      <c r="E24" s="11">
        <v>111.9</v>
      </c>
      <c r="F24" s="11">
        <v>110.4</v>
      </c>
      <c r="G24" s="11">
        <v>103</v>
      </c>
      <c r="H24" s="11">
        <v>89.6</v>
      </c>
      <c r="I24" s="11">
        <v>109.9</v>
      </c>
      <c r="J24" s="11">
        <v>58.3</v>
      </c>
      <c r="K24" s="11">
        <v>119.2</v>
      </c>
    </row>
    <row r="25" spans="1:11" ht="43.5" customHeight="1" thickBot="1" x14ac:dyDescent="0.35">
      <c r="A25" s="103"/>
      <c r="B25" s="81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25" s="14">
        <v>87</v>
      </c>
      <c r="D25" s="14">
        <v>103.1</v>
      </c>
      <c r="E25" s="14">
        <v>94</v>
      </c>
      <c r="F25" s="14">
        <v>103</v>
      </c>
      <c r="G25" s="84">
        <v>95.6</v>
      </c>
      <c r="H25" s="84">
        <v>99.1</v>
      </c>
      <c r="I25" s="84">
        <v>100.8</v>
      </c>
      <c r="J25" s="84">
        <v>69.400000000000006</v>
      </c>
      <c r="K25" s="84">
        <v>99.4</v>
      </c>
    </row>
    <row r="26" spans="1:11" ht="15.75" customHeight="1" thickTop="1" x14ac:dyDescent="0.3">
      <c r="A26" s="104" t="str">
        <f>IF('0'!A1=1,"РЕГІОНИ","OBLAST")</f>
        <v>РЕГІОНИ</v>
      </c>
      <c r="B26" s="40" t="str">
        <f>IF('0'!A1=1,"АР Крим","AR of Crimea ")</f>
        <v>АР Крим</v>
      </c>
      <c r="C26" s="82" t="s">
        <v>0</v>
      </c>
      <c r="D26" s="83" t="s">
        <v>0</v>
      </c>
      <c r="E26" s="83" t="s">
        <v>0</v>
      </c>
      <c r="F26" s="83" t="s">
        <v>0</v>
      </c>
      <c r="G26" s="16" t="s">
        <v>0</v>
      </c>
      <c r="H26" s="16" t="s">
        <v>0</v>
      </c>
      <c r="I26" s="16" t="s">
        <v>0</v>
      </c>
      <c r="J26" s="16" t="s">
        <v>0</v>
      </c>
      <c r="K26" s="16" t="s">
        <v>0</v>
      </c>
    </row>
    <row r="27" spans="1:11" ht="15.75" customHeight="1" x14ac:dyDescent="0.3">
      <c r="A27" s="105"/>
      <c r="B27" s="40" t="str">
        <f>IF('0'!A1=1,"Вінницька","Vinnitsa")</f>
        <v>Вінницька</v>
      </c>
      <c r="C27" s="11">
        <v>104</v>
      </c>
      <c r="D27" s="11">
        <v>105.3</v>
      </c>
      <c r="E27" s="11">
        <v>108.2</v>
      </c>
      <c r="F27" s="11">
        <v>99.2</v>
      </c>
      <c r="G27" s="11">
        <v>114.7</v>
      </c>
      <c r="H27" s="11">
        <v>94.5</v>
      </c>
      <c r="I27" s="11">
        <v>100.8</v>
      </c>
      <c r="J27" s="16" t="s">
        <v>0</v>
      </c>
      <c r="K27" s="16" t="s">
        <v>0</v>
      </c>
    </row>
    <row r="28" spans="1:11" ht="15.75" customHeight="1" x14ac:dyDescent="0.3">
      <c r="A28" s="105"/>
      <c r="B28" s="40" t="str">
        <f>IF('0'!A1=1,"Волинська","Volyn")</f>
        <v>Волинська</v>
      </c>
      <c r="C28" s="11">
        <v>98.6</v>
      </c>
      <c r="D28" s="11">
        <v>100.2</v>
      </c>
      <c r="E28" s="11">
        <v>105.7</v>
      </c>
      <c r="F28" s="11">
        <v>102.2</v>
      </c>
      <c r="G28" s="11">
        <v>94.9</v>
      </c>
      <c r="H28" s="11">
        <v>95.7</v>
      </c>
      <c r="I28" s="11">
        <v>110</v>
      </c>
      <c r="J28" s="16" t="s">
        <v>0</v>
      </c>
      <c r="K28" s="16" t="s">
        <v>0</v>
      </c>
    </row>
    <row r="29" spans="1:11" ht="15.75" customHeight="1" x14ac:dyDescent="0.3">
      <c r="A29" s="105"/>
      <c r="B29" s="40" t="str">
        <f>IF('0'!A1=1,"Дніпропетровська","Dnipropetrovsk")</f>
        <v>Дніпропетровська</v>
      </c>
      <c r="C29" s="11">
        <v>92.1</v>
      </c>
      <c r="D29" s="11">
        <v>99.3</v>
      </c>
      <c r="E29" s="11">
        <v>100.1</v>
      </c>
      <c r="F29" s="11">
        <v>103</v>
      </c>
      <c r="G29" s="11">
        <v>101</v>
      </c>
      <c r="H29" s="11">
        <v>87.8</v>
      </c>
      <c r="I29" s="11">
        <v>107.2</v>
      </c>
      <c r="J29" s="16" t="s">
        <v>0</v>
      </c>
      <c r="K29" s="16" t="s">
        <v>0</v>
      </c>
    </row>
    <row r="30" spans="1:11" ht="15.75" customHeight="1" x14ac:dyDescent="0.3">
      <c r="A30" s="105"/>
      <c r="B30" s="40" t="str">
        <f>IF('0'!A1=1,"Донецька","Donetsk")</f>
        <v>Донецька</v>
      </c>
      <c r="C30" s="11">
        <v>65.400000000000006</v>
      </c>
      <c r="D30" s="11">
        <v>106.4</v>
      </c>
      <c r="E30" s="11">
        <v>89.1</v>
      </c>
      <c r="F30" s="11">
        <v>102.6</v>
      </c>
      <c r="G30" s="11">
        <v>100.6</v>
      </c>
      <c r="H30" s="11">
        <v>96.6</v>
      </c>
      <c r="I30" s="11">
        <v>102.8</v>
      </c>
      <c r="J30" s="16" t="s">
        <v>0</v>
      </c>
      <c r="K30" s="16" t="s">
        <v>0</v>
      </c>
    </row>
    <row r="31" spans="1:11" ht="15.75" customHeight="1" x14ac:dyDescent="0.3">
      <c r="A31" s="105"/>
      <c r="B31" s="40" t="str">
        <f>IF('0'!A1=1,"Житомирська","Zhytomyr")</f>
        <v>Житомирська</v>
      </c>
      <c r="C31" s="11">
        <v>110</v>
      </c>
      <c r="D31" s="11">
        <v>105.7</v>
      </c>
      <c r="E31" s="11">
        <v>109.5</v>
      </c>
      <c r="F31" s="11">
        <v>97.5</v>
      </c>
      <c r="G31" s="11">
        <v>94.3</v>
      </c>
      <c r="H31" s="11">
        <v>97.6</v>
      </c>
      <c r="I31" s="11">
        <v>107.1</v>
      </c>
      <c r="J31" s="16" t="s">
        <v>0</v>
      </c>
      <c r="K31" s="16" t="s">
        <v>0</v>
      </c>
    </row>
    <row r="32" spans="1:11" ht="15.75" customHeight="1" x14ac:dyDescent="0.3">
      <c r="A32" s="105"/>
      <c r="B32" s="40" t="str">
        <f>IF('0'!A1=1,"Закарпатська","Zakarpattya")</f>
        <v>Закарпатська</v>
      </c>
      <c r="C32" s="11">
        <v>79.7</v>
      </c>
      <c r="D32" s="11">
        <v>105.9</v>
      </c>
      <c r="E32" s="11">
        <v>100.3</v>
      </c>
      <c r="F32" s="11">
        <v>105.1</v>
      </c>
      <c r="G32" s="11">
        <v>86.1</v>
      </c>
      <c r="H32" s="11">
        <v>92.7</v>
      </c>
      <c r="I32" s="11">
        <v>106.5</v>
      </c>
      <c r="J32" s="16" t="s">
        <v>0</v>
      </c>
      <c r="K32" s="16" t="s">
        <v>0</v>
      </c>
    </row>
    <row r="33" spans="1:11" ht="15.75" customHeight="1" x14ac:dyDescent="0.3">
      <c r="A33" s="105"/>
      <c r="B33" s="40" t="str">
        <f>IF('0'!A1=1,"Запорізька","Zaporizhya")</f>
        <v>Запорізька</v>
      </c>
      <c r="C33" s="11">
        <v>95.3</v>
      </c>
      <c r="D33" s="11">
        <v>96.9</v>
      </c>
      <c r="E33" s="11">
        <v>106.2</v>
      </c>
      <c r="F33" s="11">
        <v>103.6</v>
      </c>
      <c r="G33" s="11">
        <v>95.5</v>
      </c>
      <c r="H33" s="11">
        <v>92.9</v>
      </c>
      <c r="I33" s="11">
        <v>106.4</v>
      </c>
      <c r="J33" s="16" t="s">
        <v>0</v>
      </c>
      <c r="K33" s="16" t="s">
        <v>0</v>
      </c>
    </row>
    <row r="34" spans="1:11" ht="15.75" customHeight="1" x14ac:dyDescent="0.3">
      <c r="A34" s="105"/>
      <c r="B34" s="40" t="str">
        <f>IF('0'!A1=1,"Івано-Франківська","Ivano-Frankivsk")</f>
        <v>Івано-Франківська</v>
      </c>
      <c r="C34" s="11">
        <v>89.1</v>
      </c>
      <c r="D34" s="11">
        <v>95.5</v>
      </c>
      <c r="E34" s="11">
        <v>112</v>
      </c>
      <c r="F34" s="11">
        <v>110.3</v>
      </c>
      <c r="G34" s="11">
        <v>95.6</v>
      </c>
      <c r="H34" s="11">
        <v>93.4</v>
      </c>
      <c r="I34" s="11">
        <v>106</v>
      </c>
      <c r="J34" s="16" t="s">
        <v>0</v>
      </c>
      <c r="K34" s="16" t="s">
        <v>0</v>
      </c>
    </row>
    <row r="35" spans="1:11" ht="15.75" customHeight="1" x14ac:dyDescent="0.3">
      <c r="A35" s="105"/>
      <c r="B35" s="40" t="str">
        <f>IF('0'!A1=1,"Київська","Kyiv")</f>
        <v>Київська</v>
      </c>
      <c r="C35" s="11">
        <v>93</v>
      </c>
      <c r="D35" s="11">
        <v>106.2</v>
      </c>
      <c r="E35" s="11">
        <v>110.3</v>
      </c>
      <c r="F35" s="11">
        <v>102</v>
      </c>
      <c r="G35" s="11">
        <v>99.7</v>
      </c>
      <c r="H35" s="11">
        <v>98.5</v>
      </c>
      <c r="I35" s="11">
        <v>97.5</v>
      </c>
      <c r="J35" s="16" t="s">
        <v>0</v>
      </c>
      <c r="K35" s="16" t="s">
        <v>0</v>
      </c>
    </row>
    <row r="36" spans="1:11" ht="15.75" customHeight="1" x14ac:dyDescent="0.3">
      <c r="A36" s="105"/>
      <c r="B36" s="40" t="str">
        <f>IF('0'!A1=1,"Кіровоградська","Kirovohrad")</f>
        <v>Кіровоградська</v>
      </c>
      <c r="C36" s="11">
        <v>82.9</v>
      </c>
      <c r="D36" s="11">
        <v>120.3</v>
      </c>
      <c r="E36" s="11">
        <v>105.5</v>
      </c>
      <c r="F36" s="11">
        <v>102.2</v>
      </c>
      <c r="G36" s="11">
        <v>103.6</v>
      </c>
      <c r="H36" s="11">
        <v>102.2</v>
      </c>
      <c r="I36" s="11">
        <v>81.7</v>
      </c>
      <c r="J36" s="16" t="s">
        <v>0</v>
      </c>
      <c r="K36" s="16" t="s">
        <v>0</v>
      </c>
    </row>
    <row r="37" spans="1:11" ht="15.75" customHeight="1" x14ac:dyDescent="0.3">
      <c r="A37" s="105"/>
      <c r="B37" s="40" t="str">
        <f>IF('0'!A1=1,"Луганська","Luhansk")</f>
        <v>Луганська</v>
      </c>
      <c r="C37" s="11">
        <v>34</v>
      </c>
      <c r="D37" s="11">
        <v>139</v>
      </c>
      <c r="E37" s="11">
        <v>69</v>
      </c>
      <c r="F37" s="11">
        <v>83</v>
      </c>
      <c r="G37" s="11">
        <v>96</v>
      </c>
      <c r="H37" s="11">
        <v>93.4</v>
      </c>
      <c r="I37" s="11">
        <v>90.6</v>
      </c>
      <c r="J37" s="16" t="s">
        <v>0</v>
      </c>
      <c r="K37" s="16" t="s">
        <v>0</v>
      </c>
    </row>
    <row r="38" spans="1:11" ht="15.75" customHeight="1" x14ac:dyDescent="0.3">
      <c r="A38" s="105"/>
      <c r="B38" s="40" t="str">
        <f>IF('0'!A1=1,"Львівська","Lviv")</f>
        <v>Львівська</v>
      </c>
      <c r="C38" s="11">
        <v>98.5</v>
      </c>
      <c r="D38" s="11">
        <v>99.3</v>
      </c>
      <c r="E38" s="11">
        <v>106</v>
      </c>
      <c r="F38" s="11">
        <v>102.4</v>
      </c>
      <c r="G38" s="11">
        <v>97</v>
      </c>
      <c r="H38" s="11">
        <v>105.4</v>
      </c>
      <c r="I38" s="11">
        <v>104.8</v>
      </c>
      <c r="J38" s="16" t="s">
        <v>0</v>
      </c>
      <c r="K38" s="16" t="s">
        <v>0</v>
      </c>
    </row>
    <row r="39" spans="1:11" ht="15.75" customHeight="1" x14ac:dyDescent="0.3">
      <c r="A39" s="105"/>
      <c r="B39" s="40" t="str">
        <f>IF('0'!A1=1,"Миколаївська","Mykolayiv")</f>
        <v>Миколаївська</v>
      </c>
      <c r="C39" s="11">
        <v>91.1</v>
      </c>
      <c r="D39" s="11">
        <v>110.5</v>
      </c>
      <c r="E39" s="11">
        <v>101.5</v>
      </c>
      <c r="F39" s="11">
        <v>104</v>
      </c>
      <c r="G39" s="11">
        <v>98.3</v>
      </c>
      <c r="H39" s="11">
        <v>102.6</v>
      </c>
      <c r="I39" s="11">
        <v>99.3</v>
      </c>
      <c r="J39" s="16" t="s">
        <v>0</v>
      </c>
      <c r="K39" s="16" t="s">
        <v>0</v>
      </c>
    </row>
    <row r="40" spans="1:11" ht="15.75" customHeight="1" x14ac:dyDescent="0.3">
      <c r="A40" s="105"/>
      <c r="B40" s="40" t="str">
        <f>IF('0'!A1=1,"Одеська","Odesa")</f>
        <v>Одеська</v>
      </c>
      <c r="C40" s="11">
        <v>96.1</v>
      </c>
      <c r="D40" s="11">
        <v>109.2</v>
      </c>
      <c r="E40" s="11">
        <v>112.2</v>
      </c>
      <c r="F40" s="11">
        <v>92.4</v>
      </c>
      <c r="G40" s="11">
        <v>107.4</v>
      </c>
      <c r="H40" s="11">
        <v>100.7</v>
      </c>
      <c r="I40" s="11">
        <v>107</v>
      </c>
      <c r="J40" s="16" t="s">
        <v>0</v>
      </c>
      <c r="K40" s="16" t="s">
        <v>0</v>
      </c>
    </row>
    <row r="41" spans="1:11" ht="15.75" customHeight="1" x14ac:dyDescent="0.3">
      <c r="A41" s="105"/>
      <c r="B41" s="40" t="str">
        <f>IF('0'!A1=1,"Полтавська","Poltava")</f>
        <v>Полтавська</v>
      </c>
      <c r="C41" s="11">
        <v>96.2</v>
      </c>
      <c r="D41" s="11">
        <v>100.1</v>
      </c>
      <c r="E41" s="11">
        <v>98.9</v>
      </c>
      <c r="F41" s="11">
        <v>101.5</v>
      </c>
      <c r="G41" s="11">
        <v>98.8</v>
      </c>
      <c r="H41" s="11">
        <v>99.8</v>
      </c>
      <c r="I41" s="11">
        <v>101.2</v>
      </c>
      <c r="J41" s="16" t="s">
        <v>0</v>
      </c>
      <c r="K41" s="16" t="s">
        <v>0</v>
      </c>
    </row>
    <row r="42" spans="1:11" ht="15.75" customHeight="1" x14ac:dyDescent="0.3">
      <c r="A42" s="105"/>
      <c r="B42" s="40" t="str">
        <f>IF('0'!A1=1,"Рівненська","Rivne")</f>
        <v>Рівненська</v>
      </c>
      <c r="C42" s="11">
        <v>100.3</v>
      </c>
      <c r="D42" s="11">
        <v>98.1</v>
      </c>
      <c r="E42" s="11">
        <v>109.3</v>
      </c>
      <c r="F42" s="11">
        <v>95.6</v>
      </c>
      <c r="G42" s="11">
        <v>106.9</v>
      </c>
      <c r="H42" s="11">
        <v>97.3</v>
      </c>
      <c r="I42" s="11">
        <v>107.2</v>
      </c>
      <c r="J42" s="16" t="s">
        <v>0</v>
      </c>
      <c r="K42" s="16" t="s">
        <v>0</v>
      </c>
    </row>
    <row r="43" spans="1:11" ht="15.75" customHeight="1" x14ac:dyDescent="0.3">
      <c r="A43" s="105"/>
      <c r="B43" s="40" t="str">
        <f>IF('0'!A1=1,"Сумська","Sumy ")</f>
        <v>Сумська</v>
      </c>
      <c r="C43" s="11">
        <v>98.4</v>
      </c>
      <c r="D43" s="11">
        <v>91.2</v>
      </c>
      <c r="E43" s="11">
        <v>101.7</v>
      </c>
      <c r="F43" s="11">
        <v>110.3</v>
      </c>
      <c r="G43" s="11">
        <v>98.3</v>
      </c>
      <c r="H43" s="11">
        <v>95.5</v>
      </c>
      <c r="I43" s="11">
        <v>102</v>
      </c>
      <c r="J43" s="16" t="s">
        <v>0</v>
      </c>
      <c r="K43" s="16" t="s">
        <v>0</v>
      </c>
    </row>
    <row r="44" spans="1:11" ht="15" customHeight="1" x14ac:dyDescent="0.3">
      <c r="A44" s="105"/>
      <c r="B44" s="40" t="str">
        <f>IF('0'!A1=1,"Тернопільська","Ternopil ")</f>
        <v>Тернопільська</v>
      </c>
      <c r="C44" s="11">
        <v>92.1</v>
      </c>
      <c r="D44" s="11">
        <v>110.3</v>
      </c>
      <c r="E44" s="11">
        <v>108.5</v>
      </c>
      <c r="F44" s="11">
        <v>98.2</v>
      </c>
      <c r="G44" s="11">
        <v>98.3</v>
      </c>
      <c r="H44" s="11">
        <v>91.7</v>
      </c>
      <c r="I44" s="11">
        <v>105.2</v>
      </c>
      <c r="J44" s="16" t="s">
        <v>0</v>
      </c>
      <c r="K44" s="16" t="s">
        <v>0</v>
      </c>
    </row>
    <row r="45" spans="1:11" ht="15" customHeight="1" x14ac:dyDescent="0.3">
      <c r="A45" s="105"/>
      <c r="B45" s="40" t="str">
        <f>IF('0'!A1=1,"Харківська","Kharkiv")</f>
        <v>Харківська</v>
      </c>
      <c r="C45" s="11">
        <v>88.2</v>
      </c>
      <c r="D45" s="11">
        <v>105.8</v>
      </c>
      <c r="E45" s="11">
        <v>106.1</v>
      </c>
      <c r="F45" s="11">
        <v>102.9</v>
      </c>
      <c r="G45" s="11">
        <v>96.7</v>
      </c>
      <c r="H45" s="11">
        <v>95.8</v>
      </c>
      <c r="I45" s="11">
        <v>93.5</v>
      </c>
      <c r="J45" s="16" t="s">
        <v>0</v>
      </c>
      <c r="K45" s="16" t="s">
        <v>0</v>
      </c>
    </row>
    <row r="46" spans="1:11" ht="15" customHeight="1" x14ac:dyDescent="0.3">
      <c r="A46" s="105"/>
      <c r="B46" s="40" t="str">
        <f>IF('0'!A1=1,"Херсонська","Kherson")</f>
        <v>Херсонська</v>
      </c>
      <c r="C46" s="11">
        <v>98.1</v>
      </c>
      <c r="D46" s="11">
        <v>102</v>
      </c>
      <c r="E46" s="11">
        <v>103.2</v>
      </c>
      <c r="F46" s="11">
        <v>101.1</v>
      </c>
      <c r="G46" s="11">
        <v>104.4</v>
      </c>
      <c r="H46" s="11">
        <v>104.8</v>
      </c>
      <c r="I46" s="11">
        <v>95.1</v>
      </c>
      <c r="J46" s="16" t="s">
        <v>0</v>
      </c>
      <c r="K46" s="16" t="s">
        <v>0</v>
      </c>
    </row>
    <row r="47" spans="1:11" ht="15" customHeight="1" x14ac:dyDescent="0.3">
      <c r="A47" s="105"/>
      <c r="B47" s="40" t="str">
        <f>IF('0'!A1=1,"Хмельницька","Khmelnytskiy")</f>
        <v>Хмельницька</v>
      </c>
      <c r="C47" s="11">
        <v>95.7</v>
      </c>
      <c r="D47" s="11">
        <v>104.7</v>
      </c>
      <c r="E47" s="11">
        <v>101.6</v>
      </c>
      <c r="F47" s="11">
        <v>95.3</v>
      </c>
      <c r="G47" s="11">
        <v>85.5</v>
      </c>
      <c r="H47" s="11">
        <v>98</v>
      </c>
      <c r="I47" s="11">
        <v>106.4</v>
      </c>
      <c r="J47" s="16" t="s">
        <v>0</v>
      </c>
      <c r="K47" s="16" t="s">
        <v>0</v>
      </c>
    </row>
    <row r="48" spans="1:11" ht="15" customHeight="1" x14ac:dyDescent="0.3">
      <c r="A48" s="105"/>
      <c r="B48" s="40" t="str">
        <f>IF('0'!A1=1,"Черкаська","Cherkasy")</f>
        <v>Черкаська</v>
      </c>
      <c r="C48" s="11">
        <v>90.8</v>
      </c>
      <c r="D48" s="11">
        <v>106.3</v>
      </c>
      <c r="E48" s="11">
        <v>99.1</v>
      </c>
      <c r="F48" s="11">
        <v>102.3</v>
      </c>
      <c r="G48" s="11">
        <v>101.3</v>
      </c>
      <c r="H48" s="11">
        <v>96.8</v>
      </c>
      <c r="I48" s="11">
        <v>98.3</v>
      </c>
      <c r="J48" s="16" t="s">
        <v>0</v>
      </c>
      <c r="K48" s="16" t="s">
        <v>0</v>
      </c>
    </row>
    <row r="49" spans="1:11" ht="15" customHeight="1" x14ac:dyDescent="0.3">
      <c r="A49" s="105"/>
      <c r="B49" s="40" t="str">
        <f>IF('0'!A1=1,"Чернівецька","Chernivtsi")</f>
        <v>Чернівецька</v>
      </c>
      <c r="C49" s="11">
        <v>98.3</v>
      </c>
      <c r="D49" s="11">
        <v>96.9</v>
      </c>
      <c r="E49" s="11">
        <v>106.7</v>
      </c>
      <c r="F49" s="11">
        <v>105.8</v>
      </c>
      <c r="G49" s="11">
        <v>100.3</v>
      </c>
      <c r="H49" s="11">
        <v>85.9</v>
      </c>
      <c r="I49" s="11">
        <v>97.3</v>
      </c>
      <c r="J49" s="16" t="s">
        <v>0</v>
      </c>
      <c r="K49" s="16" t="s">
        <v>0</v>
      </c>
    </row>
    <row r="50" spans="1:11" ht="15" customHeight="1" x14ac:dyDescent="0.3">
      <c r="A50" s="105"/>
      <c r="B50" s="40" t="str">
        <f>IF('0'!A1=1,"Чернігівська","Chernihiv")</f>
        <v>Чернігівська</v>
      </c>
      <c r="C50" s="11">
        <v>91.2</v>
      </c>
      <c r="D50" s="11">
        <v>105.8</v>
      </c>
      <c r="E50" s="11">
        <v>96.5</v>
      </c>
      <c r="F50" s="11">
        <v>99.2</v>
      </c>
      <c r="G50" s="11">
        <v>89.9</v>
      </c>
      <c r="H50" s="11">
        <v>93.2</v>
      </c>
      <c r="I50" s="11">
        <v>97.6</v>
      </c>
      <c r="J50" s="16" t="s">
        <v>0</v>
      </c>
      <c r="K50" s="16" t="s">
        <v>0</v>
      </c>
    </row>
    <row r="51" spans="1:11" ht="15" customHeight="1" x14ac:dyDescent="0.3">
      <c r="A51" s="105"/>
      <c r="B51" s="40" t="str">
        <f>IF('0'!A1=1,"м. Київ","Kyiv")</f>
        <v>м. Київ</v>
      </c>
      <c r="C51" s="11">
        <v>94.6</v>
      </c>
      <c r="D51" s="11">
        <v>104.4</v>
      </c>
      <c r="E51" s="11">
        <v>95.8</v>
      </c>
      <c r="F51" s="11">
        <v>98.1</v>
      </c>
      <c r="G51" s="11">
        <v>98</v>
      </c>
      <c r="H51" s="11">
        <v>97.7</v>
      </c>
      <c r="I51" s="11">
        <v>103</v>
      </c>
      <c r="J51" s="16" t="s">
        <v>0</v>
      </c>
      <c r="K51" s="16" t="s">
        <v>0</v>
      </c>
    </row>
    <row r="52" spans="1:11" ht="15" customHeight="1" thickBot="1" x14ac:dyDescent="0.35">
      <c r="A52" s="106"/>
      <c r="B52" s="44" t="str">
        <f>IF('0'!A1=1,"м. Севастополь","Sevastopоl")</f>
        <v>м. Севастополь</v>
      </c>
      <c r="C52" s="12" t="s">
        <v>0</v>
      </c>
      <c r="D52" s="12" t="s">
        <v>0</v>
      </c>
      <c r="E52" s="12" t="s">
        <v>0</v>
      </c>
      <c r="F52" s="12" t="s">
        <v>0</v>
      </c>
      <c r="G52" s="12" t="s">
        <v>0</v>
      </c>
      <c r="H52" s="12" t="s">
        <v>0</v>
      </c>
      <c r="I52" s="12" t="s">
        <v>0</v>
      </c>
      <c r="J52" s="12" t="s">
        <v>0</v>
      </c>
      <c r="K52" s="12" t="s">
        <v>0</v>
      </c>
    </row>
    <row r="53" spans="1:11" ht="20.25" customHeight="1" thickTop="1" x14ac:dyDescent="0.3">
      <c r="A53" s="41"/>
      <c r="B53" s="41"/>
    </row>
    <row r="54" spans="1:11" ht="28.5" customHeight="1" x14ac:dyDescent="0.3">
      <c r="A54" s="98" t="str">
        <f>IF('0'!A1=1,"* Дані наведено без урахування тимчасово окупованої території АР Крим і м.Севастополя; з 2014 року також без частини тимчасово окупованих територій у Донецькій та Луганській областях.","* Data excluding the temporarily occupied territories of the AR of Crimea, the city of Sevastopol; since 2014 part of temporarily occupied territories in the Donetsk and Luhansk regions.")</f>
        <v>* Дані наведено без урахування тимчасово окупованої території АР Крим і м.Севастополя; з 2014 року також без частини тимчасово окупованих територій у Донецькій та Луганській областях.</v>
      </c>
      <c r="B54" s="98"/>
      <c r="C54" s="99"/>
      <c r="D54" s="99"/>
      <c r="E54" s="99"/>
      <c r="F54" s="99"/>
      <c r="G54" s="99"/>
      <c r="H54" s="99"/>
      <c r="I54" s="99"/>
      <c r="J54" s="99"/>
      <c r="K54" s="99"/>
    </row>
    <row r="55" spans="1:11" ht="15" customHeight="1" x14ac:dyDescent="0.3">
      <c r="A55" s="98" t="str">
        <f>IF('0'!A1=1,"Примітка: починаючи з 2013 року індекси переглянуті у зв'язку зі зміною базисного року (2016=100%).","Note: since 2013 indices revised in connection with the change of the base year (2016 = 100%).")</f>
        <v>Примітка: починаючи з 2013 року індекси переглянуті у зв'язку зі зміною базисного року (2016=100%).</v>
      </c>
      <c r="B55" s="98"/>
      <c r="C55" s="98"/>
      <c r="D55" s="98"/>
      <c r="E55" s="98"/>
      <c r="F55" s="98"/>
      <c r="G55" s="98"/>
      <c r="H55" s="98"/>
    </row>
    <row r="56" spans="1:11" x14ac:dyDescent="0.3">
      <c r="A56" s="41"/>
      <c r="B56" s="41"/>
    </row>
    <row r="57" spans="1:11" x14ac:dyDescent="0.3">
      <c r="A57" s="45"/>
      <c r="B57" s="46"/>
    </row>
    <row r="58" spans="1:11" x14ac:dyDescent="0.3">
      <c r="A58" s="45"/>
      <c r="B58" s="45"/>
    </row>
  </sheetData>
  <sheetProtection password="CF16" sheet="1" objects="1" scenarios="1"/>
  <mergeCells count="5">
    <mergeCell ref="A55:H55"/>
    <mergeCell ref="A2:B2"/>
    <mergeCell ref="A3:A25"/>
    <mergeCell ref="A26:A52"/>
    <mergeCell ref="A54:K54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showRowColHeaders="0" zoomScale="80" zoomScaleNormal="80" workbookViewId="0">
      <pane xSplit="2" ySplit="2" topLeftCell="C3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RowHeight="14.4" x14ac:dyDescent="0.3"/>
  <cols>
    <col min="1" max="1" width="8.6640625" customWidth="1"/>
    <col min="2" max="2" width="45.6640625" customWidth="1"/>
    <col min="3" max="5" width="9.33203125" customWidth="1"/>
    <col min="6" max="6" width="9.33203125" style="15" customWidth="1"/>
    <col min="7" max="8" width="9.33203125" customWidth="1"/>
  </cols>
  <sheetData>
    <row r="1" spans="1:10" s="1" customFormat="1" ht="15.75" customHeight="1" thickBot="1" x14ac:dyDescent="0.35">
      <c r="A1" s="35" t="str">
        <f>IF('0'!A1=1,"до змісту","to title")</f>
        <v>до змісту</v>
      </c>
      <c r="B1" s="43"/>
      <c r="F1" s="15"/>
    </row>
    <row r="2" spans="1:10" s="1" customFormat="1" ht="54" customHeight="1" thickTop="1" x14ac:dyDescent="0.3">
      <c r="A2" s="100" t="str">
        <f>IF('0'!A1=1,"Індекси промислової продукції за видами діяльності (до попереднього року, %), 2010=100%*","Industrial products Indices (to the previous year, %), 2010=100%*")</f>
        <v>Індекси промислової продукції за видами діяльності (до попереднього року, %), 2010=100%*</v>
      </c>
      <c r="B2" s="101"/>
      <c r="C2" s="7">
        <v>2011</v>
      </c>
      <c r="D2" s="7">
        <v>2012</v>
      </c>
      <c r="E2" s="7">
        <v>2013</v>
      </c>
      <c r="F2" s="7">
        <v>2014</v>
      </c>
      <c r="G2" s="7">
        <v>2015</v>
      </c>
      <c r="H2" s="7">
        <v>2016</v>
      </c>
      <c r="I2" s="7">
        <v>2017</v>
      </c>
      <c r="J2" s="8">
        <v>2018</v>
      </c>
    </row>
    <row r="3" spans="1:10" s="1" customFormat="1" ht="33" customHeight="1" x14ac:dyDescent="0.3">
      <c r="A3" s="102" t="str">
        <f>IF('0'!A1=1,"ВИДИ ЕКОНОМІЧНОЇ ДІЯЛЬНОСТІ","TYPES OF ECONOMIC ACTIVITY")</f>
        <v>ВИДИ ЕКОНОМІЧНОЇ ДІЯЛЬНОСТІ</v>
      </c>
      <c r="B3" s="36" t="str">
        <f>IF('0'!A1=1,"Промисловість","Industry")</f>
        <v>Промисловість</v>
      </c>
      <c r="C3" s="14">
        <v>108</v>
      </c>
      <c r="D3" s="14">
        <v>99.3</v>
      </c>
      <c r="E3" s="14">
        <v>95.7</v>
      </c>
      <c r="F3" s="14">
        <v>89.9</v>
      </c>
      <c r="G3" s="14">
        <v>87</v>
      </c>
      <c r="H3" s="14">
        <v>102.8</v>
      </c>
      <c r="I3" s="14">
        <v>100.4</v>
      </c>
      <c r="J3" s="14">
        <v>101.6</v>
      </c>
    </row>
    <row r="4" spans="1:10" s="1" customFormat="1" ht="33" customHeight="1" x14ac:dyDescent="0.3">
      <c r="A4" s="94"/>
      <c r="B4" s="37" t="str">
        <f>IF('0'!A1=1,"Добувна  та переробна промисловість","Mining and manufacturing")</f>
        <v>Добувна  та переробна промисловість</v>
      </c>
      <c r="C4" s="11">
        <v>108.7</v>
      </c>
      <c r="D4" s="11">
        <v>99</v>
      </c>
      <c r="E4" s="11">
        <v>95.2</v>
      </c>
      <c r="F4" s="11">
        <v>89.3</v>
      </c>
      <c r="G4" s="11">
        <v>86.9</v>
      </c>
      <c r="H4" s="11">
        <v>102.9</v>
      </c>
      <c r="I4" s="11">
        <v>101.6</v>
      </c>
      <c r="J4" s="11">
        <v>101.5</v>
      </c>
    </row>
    <row r="5" spans="1:10" s="1" customFormat="1" ht="33" customHeight="1" x14ac:dyDescent="0.3">
      <c r="A5" s="94"/>
      <c r="B5" s="37" t="str">
        <f>IF('0'!A1=1,"Добувна промисловість і розроблення кар`єрів","Mining and quarrying")</f>
        <v>Добувна промисловість і розроблення кар`єрів</v>
      </c>
      <c r="C5" s="11">
        <v>106.7</v>
      </c>
      <c r="D5" s="11">
        <v>101.5</v>
      </c>
      <c r="E5" s="11">
        <v>100.8</v>
      </c>
      <c r="F5" s="11">
        <v>86.3</v>
      </c>
      <c r="G5" s="11">
        <v>85.8</v>
      </c>
      <c r="H5" s="11">
        <v>99.8</v>
      </c>
      <c r="I5" s="11">
        <v>94.3</v>
      </c>
      <c r="J5" s="11">
        <v>102.4</v>
      </c>
    </row>
    <row r="6" spans="1:10" s="1" customFormat="1" ht="33" customHeight="1" x14ac:dyDescent="0.3">
      <c r="A6" s="94"/>
      <c r="B6" s="38" t="str">
        <f>IF('0'!A1=1,"добування кам`яного та бурого вугілля","mining of coal and lignite")</f>
        <v>добування кам`яного та бурого вугілля</v>
      </c>
      <c r="C6" s="11">
        <v>113.7</v>
      </c>
      <c r="D6" s="11">
        <v>104.5</v>
      </c>
      <c r="E6" s="11">
        <v>97.6</v>
      </c>
      <c r="F6" s="11">
        <v>69.5</v>
      </c>
      <c r="G6" s="11">
        <v>61.9</v>
      </c>
      <c r="H6" s="11">
        <v>104.8</v>
      </c>
      <c r="I6" s="11">
        <v>83.7</v>
      </c>
      <c r="J6" s="11">
        <v>104</v>
      </c>
    </row>
    <row r="7" spans="1:10" s="1" customFormat="1" ht="33" customHeight="1" x14ac:dyDescent="0.3">
      <c r="A7" s="94"/>
      <c r="B7" s="38" t="str">
        <f>IF('0'!A1=1,"добування сирої нафти та природного газу","extraction of crude petroleum and natural gas")</f>
        <v>добування сирої нафти та природного газу</v>
      </c>
      <c r="C7" s="11">
        <v>97.2</v>
      </c>
      <c r="D7" s="11">
        <v>101</v>
      </c>
      <c r="E7" s="11">
        <v>96.3</v>
      </c>
      <c r="F7" s="11">
        <v>98.3</v>
      </c>
      <c r="G7" s="11">
        <v>95</v>
      </c>
      <c r="H7" s="11">
        <v>97.4</v>
      </c>
      <c r="I7" s="11">
        <v>100.2</v>
      </c>
      <c r="J7" s="11">
        <v>103.1</v>
      </c>
    </row>
    <row r="8" spans="1:10" s="1" customFormat="1" ht="33" customHeight="1" x14ac:dyDescent="0.3">
      <c r="A8" s="94"/>
      <c r="B8" s="38" t="str">
        <f>IF('0'!A1=1,"добування металевих руд","mining of metal ores")</f>
        <v>добування металевих руд</v>
      </c>
      <c r="C8" s="11">
        <v>103.2</v>
      </c>
      <c r="D8" s="11">
        <v>101.2</v>
      </c>
      <c r="E8" s="11">
        <v>104.6</v>
      </c>
      <c r="F8" s="11">
        <v>93.4</v>
      </c>
      <c r="G8" s="11">
        <v>95</v>
      </c>
      <c r="H8" s="11">
        <v>97.9</v>
      </c>
      <c r="I8" s="11">
        <v>93.7</v>
      </c>
      <c r="J8" s="11">
        <v>102.5</v>
      </c>
    </row>
    <row r="9" spans="1:10" s="1" customFormat="1" ht="33" customHeight="1" x14ac:dyDescent="0.3">
      <c r="A9" s="94"/>
      <c r="B9" s="37" t="str">
        <f>IF('0'!A1=1,"Переробна промисловість","Manufacturing")</f>
        <v>Переробна промисловість</v>
      </c>
      <c r="C9" s="11">
        <v>109.7</v>
      </c>
      <c r="D9" s="11">
        <v>98</v>
      </c>
      <c r="E9" s="11">
        <v>92.7</v>
      </c>
      <c r="F9" s="11">
        <v>90.7</v>
      </c>
      <c r="G9" s="11">
        <v>87.4</v>
      </c>
      <c r="H9" s="11">
        <v>104.3</v>
      </c>
      <c r="I9" s="11">
        <v>104.8</v>
      </c>
      <c r="J9" s="11">
        <v>101.1</v>
      </c>
    </row>
    <row r="10" spans="1:10" s="1" customFormat="1" ht="43.5" customHeight="1" x14ac:dyDescent="0.3">
      <c r="A10" s="94"/>
      <c r="B10" s="38" t="str">
        <f>IF('0'!A1=1,"виробництво харчових продуктів, напоїв та тютюнових виробів","production of foodstuffs, beverages and tobacco products")</f>
        <v>виробництво харчових продуктів, напоїв та тютюнових виробів</v>
      </c>
      <c r="C10" s="11">
        <v>103.2</v>
      </c>
      <c r="D10" s="11">
        <v>100.8</v>
      </c>
      <c r="E10" s="11">
        <v>95</v>
      </c>
      <c r="F10" s="11">
        <v>102.5</v>
      </c>
      <c r="G10" s="11">
        <v>89.3</v>
      </c>
      <c r="H10" s="11">
        <v>104.4</v>
      </c>
      <c r="I10" s="11">
        <v>102.9</v>
      </c>
      <c r="J10" s="11">
        <v>98.5</v>
      </c>
    </row>
    <row r="11" spans="1:10" s="1" customFormat="1" ht="43.5" customHeight="1" x14ac:dyDescent="0.3">
      <c r="A11" s="94"/>
      <c r="B11" s="38" t="str">
        <f>IF('0'!A1=1,"текстильне виробництво, виробництво одягу, шкіри, виробів зі шкіри та інших матеріалів","tanning and dressing of leather; dressing and dyeing of fur")</f>
        <v>текстильне виробництво, виробництво одягу, шкіри, виробів зі шкіри та інших матеріалів</v>
      </c>
      <c r="C11" s="11">
        <v>106.7</v>
      </c>
      <c r="D11" s="11">
        <v>94.1</v>
      </c>
      <c r="E11" s="11">
        <v>94.1</v>
      </c>
      <c r="F11" s="11">
        <v>98.6</v>
      </c>
      <c r="G11" s="11">
        <v>92</v>
      </c>
      <c r="H11" s="11">
        <v>102.2</v>
      </c>
      <c r="I11" s="11">
        <v>107.2</v>
      </c>
      <c r="J11" s="11">
        <v>96.8</v>
      </c>
    </row>
    <row r="12" spans="1:10" s="1" customFormat="1" ht="43.5" customHeight="1" x14ac:dyDescent="0.3">
      <c r="A12" s="94"/>
      <c r="B12" s="38" t="str">
        <f>IF('0'!A1=1,"виготовлення виробів з деревини, виробництво паперу та поліграфічна діяльність","manufacture of products of wood, manufacture of paper and printing")</f>
        <v>виготовлення виробів з деревини, виробництво паперу та поліграфічна діяльність</v>
      </c>
      <c r="C12" s="11">
        <v>107.4</v>
      </c>
      <c r="D12" s="11">
        <v>101</v>
      </c>
      <c r="E12" s="11">
        <v>102.7</v>
      </c>
      <c r="F12" s="11">
        <v>96</v>
      </c>
      <c r="G12" s="11">
        <v>88.9</v>
      </c>
      <c r="H12" s="11">
        <v>102</v>
      </c>
      <c r="I12" s="11">
        <v>105.8</v>
      </c>
      <c r="J12" s="11">
        <v>102.5</v>
      </c>
    </row>
    <row r="13" spans="1:10" s="1" customFormat="1" ht="43.5" customHeight="1" x14ac:dyDescent="0.3">
      <c r="A13" s="94"/>
      <c r="B13" s="38" t="str">
        <f>IF('0'!A1=1,"виробництво коксу та продуктів нафтоперероблення","manufacture of coke and refined petroleum products")</f>
        <v>виробництво коксу та продуктів нафтоперероблення</v>
      </c>
      <c r="C13" s="11">
        <v>96.4</v>
      </c>
      <c r="D13" s="11">
        <v>81.599999999999994</v>
      </c>
      <c r="E13" s="11">
        <v>89.2</v>
      </c>
      <c r="F13" s="11">
        <v>78.7</v>
      </c>
      <c r="G13" s="11">
        <v>80.900000000000006</v>
      </c>
      <c r="H13" s="11">
        <v>108.7</v>
      </c>
      <c r="I13" s="11">
        <v>85.2</v>
      </c>
      <c r="J13" s="11">
        <v>103.5</v>
      </c>
    </row>
    <row r="14" spans="1:10" s="1" customFormat="1" ht="43.5" customHeight="1" x14ac:dyDescent="0.3">
      <c r="A14" s="94"/>
      <c r="B14" s="38" t="str">
        <f>IF('0'!A1=1,"виробництво хімічних речовин і хімічної продукції","manufacture of chemicals and chemical products")</f>
        <v>виробництво хімічних речовин і хімічної продукції</v>
      </c>
      <c r="C14" s="11">
        <v>128</v>
      </c>
      <c r="D14" s="11">
        <v>96</v>
      </c>
      <c r="E14" s="11">
        <v>80.7</v>
      </c>
      <c r="F14" s="11">
        <v>85.8</v>
      </c>
      <c r="G14" s="11">
        <v>84.8</v>
      </c>
      <c r="H14" s="11">
        <v>101.1</v>
      </c>
      <c r="I14" s="11">
        <v>118.4</v>
      </c>
      <c r="J14" s="11">
        <v>117.4</v>
      </c>
    </row>
    <row r="15" spans="1:10" s="1" customFormat="1" ht="43.5" customHeight="1" x14ac:dyDescent="0.3">
      <c r="A15" s="94"/>
      <c r="B15" s="38" t="str">
        <f>IF('0'!A1=1,"виробництво основних фармацевтичних продуктів і фармацевтичних препаратів","manufacture of basic pharmaceutical products and pharmaceutical preparations")</f>
        <v>виробництво основних фармацевтичних продуктів і фармацевтичних препаратів</v>
      </c>
      <c r="C15" s="11">
        <v>98.6</v>
      </c>
      <c r="D15" s="11">
        <v>107.3</v>
      </c>
      <c r="E15" s="11">
        <v>111.8</v>
      </c>
      <c r="F15" s="11">
        <v>101.9</v>
      </c>
      <c r="G15" s="11">
        <v>92.4</v>
      </c>
      <c r="H15" s="11">
        <v>104.4</v>
      </c>
      <c r="I15" s="11">
        <v>106.9</v>
      </c>
      <c r="J15" s="11">
        <v>101.1</v>
      </c>
    </row>
    <row r="16" spans="1:10" s="1" customFormat="1" ht="49.5" customHeight="1" x14ac:dyDescent="0.3">
      <c r="A16" s="94"/>
      <c r="B16" s="38" t="str">
        <f>IF('0'!A1=1,"виробництво гумових і пластмасових виробів; іншої неметалевої мінеральної продукціі","manufacture of rubber and plastic products, manufacture of other non-metallic mineral products")</f>
        <v>виробництво гумових і пластмасових виробів; іншої неметалевої мінеральної продукціі</v>
      </c>
      <c r="C16" s="11">
        <v>113.4</v>
      </c>
      <c r="D16" s="11">
        <v>93.8</v>
      </c>
      <c r="E16" s="11">
        <v>97.4</v>
      </c>
      <c r="F16" s="11">
        <v>91.2</v>
      </c>
      <c r="G16" s="11">
        <v>92.8</v>
      </c>
      <c r="H16" s="11">
        <v>108.5</v>
      </c>
      <c r="I16" s="11">
        <v>108.2</v>
      </c>
      <c r="J16" s="11">
        <v>99.5</v>
      </c>
    </row>
    <row r="17" spans="1:10" s="1" customFormat="1" ht="43.5" customHeight="1" x14ac:dyDescent="0.3">
      <c r="A17" s="94"/>
      <c r="B17" s="38" t="str">
        <f>IF('0'!A1=1,"металургійне виробництво, виробництво готових металевих виробів, крім машин і устаткування","manufacture of basic metals, manufacture of fabricated metal products, except machinery and equipment")</f>
        <v>металургійне виробництво, виробництво готових металевих виробів, крім машин і устаткування</v>
      </c>
      <c r="C17" s="11">
        <v>111</v>
      </c>
      <c r="D17" s="11">
        <v>96.5</v>
      </c>
      <c r="E17" s="11">
        <v>94.7</v>
      </c>
      <c r="F17" s="11">
        <v>85.5</v>
      </c>
      <c r="G17" s="11">
        <v>83.9</v>
      </c>
      <c r="H17" s="11">
        <v>106.8</v>
      </c>
      <c r="I17" s="11">
        <v>100.2</v>
      </c>
      <c r="J17" s="11">
        <v>100.6</v>
      </c>
    </row>
    <row r="18" spans="1:10" s="1" customFormat="1" ht="49.5" customHeight="1" x14ac:dyDescent="0.3">
      <c r="A18" s="94"/>
      <c r="B18" s="38" t="str">
        <f>IF('0'!A1=1,"машинобудування, крім ремонту і монтажу машин і устаткування","manufacture of basic metals, manufacture of fabricated metal products, except machinery and equipment")</f>
        <v>машинобудування, крім ремонту і монтажу машин і устаткування</v>
      </c>
      <c r="C18" s="11">
        <v>115.4</v>
      </c>
      <c r="D18" s="11">
        <v>96.7</v>
      </c>
      <c r="E18" s="11">
        <v>86.4</v>
      </c>
      <c r="F18" s="11">
        <v>79.400000000000006</v>
      </c>
      <c r="G18" s="11">
        <v>85.9</v>
      </c>
      <c r="H18" s="11">
        <v>102</v>
      </c>
      <c r="I18" s="11">
        <v>107.9</v>
      </c>
      <c r="J18" s="11">
        <v>101.6</v>
      </c>
    </row>
    <row r="19" spans="1:10" s="1" customFormat="1" ht="48" customHeight="1" x14ac:dyDescent="0.3">
      <c r="A19" s="94"/>
      <c r="B19" s="38" t="str">
        <f>IF('0'!A1=1,"виробництво меблів, іншої продукції, ремонт та монтаж машин і устаткування","manufacture of furniture and other manufacturing;, repair and installation of machinery and equipment")</f>
        <v>виробництво меблів, іншої продукції, ремонт та монтаж машин і устаткування</v>
      </c>
      <c r="C19" s="11">
        <v>114.3</v>
      </c>
      <c r="D19" s="11">
        <v>108.1</v>
      </c>
      <c r="E19" s="11">
        <v>90.9</v>
      </c>
      <c r="F19" s="11">
        <v>93</v>
      </c>
      <c r="G19" s="11">
        <v>84.5</v>
      </c>
      <c r="H19" s="11">
        <v>101.3</v>
      </c>
      <c r="I19" s="11">
        <v>111.1</v>
      </c>
      <c r="J19" s="11">
        <v>105.6</v>
      </c>
    </row>
    <row r="20" spans="1:10" s="1" customFormat="1" ht="43.5" customHeight="1" thickBot="1" x14ac:dyDescent="0.35">
      <c r="A20" s="103"/>
      <c r="B20" s="51" t="str">
        <f>IF('0'!A1=1,"Постачання електроенергії, газу, пари та кондиційованого повітря","Electricity, gas, steam and air conditioning supply")</f>
        <v>Постачання електроенергії, газу, пари та кондиційованого повітря</v>
      </c>
      <c r="C20" s="12">
        <v>103.1</v>
      </c>
      <c r="D20" s="12">
        <v>100.9</v>
      </c>
      <c r="E20" s="12">
        <v>98.9</v>
      </c>
      <c r="F20" s="12">
        <v>93.4</v>
      </c>
      <c r="G20" s="12">
        <v>88</v>
      </c>
      <c r="H20" s="12">
        <v>102.5</v>
      </c>
      <c r="I20" s="12">
        <v>93.5</v>
      </c>
      <c r="J20" s="12">
        <v>102.8</v>
      </c>
    </row>
    <row r="21" spans="1:10" s="1" customFormat="1" ht="15.75" customHeight="1" thickTop="1" x14ac:dyDescent="0.3">
      <c r="A21" s="104" t="str">
        <f>IF('0'!A1=1,"РЕГІОНИ","OBLAST")</f>
        <v>РЕГІОНИ</v>
      </c>
      <c r="B21" s="40" t="str">
        <f>IF('0'!A1=1,"АР Крим","AR of Crimea ")</f>
        <v>АР Крим</v>
      </c>
      <c r="C21" s="11">
        <v>104.3</v>
      </c>
      <c r="D21" s="11">
        <v>98.7</v>
      </c>
      <c r="E21" s="11">
        <v>100.8</v>
      </c>
      <c r="F21" s="16" t="s">
        <v>0</v>
      </c>
      <c r="G21" s="11" t="s">
        <v>0</v>
      </c>
      <c r="H21" s="16" t="s">
        <v>0</v>
      </c>
      <c r="I21" s="16" t="s">
        <v>0</v>
      </c>
      <c r="J21" s="16" t="s">
        <v>0</v>
      </c>
    </row>
    <row r="22" spans="1:10" s="1" customFormat="1" ht="15.75" customHeight="1" x14ac:dyDescent="0.3">
      <c r="A22" s="105"/>
      <c r="B22" s="40" t="str">
        <f>IF('0'!A1=1,"Вінницька","Vinnitsa")</f>
        <v>Вінницька</v>
      </c>
      <c r="C22" s="11">
        <v>100</v>
      </c>
      <c r="D22" s="11">
        <v>107.1</v>
      </c>
      <c r="E22" s="11">
        <v>110.4</v>
      </c>
      <c r="F22" s="16">
        <v>105.4</v>
      </c>
      <c r="G22" s="11">
        <v>104</v>
      </c>
      <c r="H22" s="16">
        <v>105.3</v>
      </c>
      <c r="I22" s="16">
        <v>108.2</v>
      </c>
      <c r="J22" s="16">
        <v>99.2</v>
      </c>
    </row>
    <row r="23" spans="1:10" s="1" customFormat="1" ht="15.75" customHeight="1" x14ac:dyDescent="0.3">
      <c r="A23" s="105"/>
      <c r="B23" s="40" t="str">
        <f>IF('0'!A1=1,"Волинська","Volyn")</f>
        <v>Волинська</v>
      </c>
      <c r="C23" s="11">
        <v>112.6</v>
      </c>
      <c r="D23" s="11">
        <v>94.5</v>
      </c>
      <c r="E23" s="11">
        <v>102.9</v>
      </c>
      <c r="F23" s="16">
        <v>103.2</v>
      </c>
      <c r="G23" s="11">
        <v>98.6</v>
      </c>
      <c r="H23" s="16">
        <v>100.2</v>
      </c>
      <c r="I23" s="16">
        <v>105.7</v>
      </c>
      <c r="J23" s="16">
        <v>102.2</v>
      </c>
    </row>
    <row r="24" spans="1:10" s="1" customFormat="1" ht="15.75" customHeight="1" x14ac:dyDescent="0.3">
      <c r="A24" s="105"/>
      <c r="B24" s="40" t="str">
        <f>IF('0'!A1=1,"Дніпропетровська","Dnipropetrovsk")</f>
        <v>Дніпропетровська</v>
      </c>
      <c r="C24" s="11">
        <v>105.4</v>
      </c>
      <c r="D24" s="11">
        <v>102.2</v>
      </c>
      <c r="E24" s="11">
        <v>98.5</v>
      </c>
      <c r="F24" s="16">
        <v>92.5</v>
      </c>
      <c r="G24" s="11">
        <v>92.1</v>
      </c>
      <c r="H24" s="16">
        <v>99.3</v>
      </c>
      <c r="I24" s="16">
        <v>100.1</v>
      </c>
      <c r="J24" s="16">
        <v>103</v>
      </c>
    </row>
    <row r="25" spans="1:10" s="1" customFormat="1" ht="15.75" customHeight="1" x14ac:dyDescent="0.3">
      <c r="A25" s="105"/>
      <c r="B25" s="40" t="str">
        <f>IF('0'!A1=1,"Донецька","Donetsk")</f>
        <v>Донецька</v>
      </c>
      <c r="C25" s="11">
        <v>113.6</v>
      </c>
      <c r="D25" s="11">
        <v>94.6</v>
      </c>
      <c r="E25" s="11">
        <v>93.6</v>
      </c>
      <c r="F25" s="16">
        <v>68.5</v>
      </c>
      <c r="G25" s="11">
        <v>65.400000000000006</v>
      </c>
      <c r="H25" s="16">
        <v>106.4</v>
      </c>
      <c r="I25" s="16">
        <v>89.1</v>
      </c>
      <c r="J25" s="16">
        <v>102.6</v>
      </c>
    </row>
    <row r="26" spans="1:10" s="1" customFormat="1" ht="15.75" customHeight="1" x14ac:dyDescent="0.3">
      <c r="A26" s="105"/>
      <c r="B26" s="40" t="str">
        <f>IF('0'!A1=1,"Житомирська","Zhytomyr")</f>
        <v>Житомирська</v>
      </c>
      <c r="C26" s="11">
        <v>125.3</v>
      </c>
      <c r="D26" s="11">
        <v>116.6</v>
      </c>
      <c r="E26" s="11">
        <v>113.4</v>
      </c>
      <c r="F26" s="16">
        <v>107.1</v>
      </c>
      <c r="G26" s="11">
        <v>110</v>
      </c>
      <c r="H26" s="16">
        <v>105.7</v>
      </c>
      <c r="I26" s="16">
        <v>109.5</v>
      </c>
      <c r="J26" s="16">
        <v>97.5</v>
      </c>
    </row>
    <row r="27" spans="1:10" s="1" customFormat="1" ht="15.75" customHeight="1" x14ac:dyDescent="0.3">
      <c r="A27" s="105"/>
      <c r="B27" s="40" t="str">
        <f>IF('0'!A1=1,"Закарпатська","Zakarpattya")</f>
        <v>Закарпатська</v>
      </c>
      <c r="C27" s="11">
        <v>101.8</v>
      </c>
      <c r="D27" s="11">
        <v>101.4</v>
      </c>
      <c r="E27" s="11">
        <v>96.9</v>
      </c>
      <c r="F27" s="16">
        <v>106.1</v>
      </c>
      <c r="G27" s="11">
        <v>79.7</v>
      </c>
      <c r="H27" s="16">
        <v>105.9</v>
      </c>
      <c r="I27" s="16">
        <v>100.3</v>
      </c>
      <c r="J27" s="16">
        <v>105.1</v>
      </c>
    </row>
    <row r="28" spans="1:10" s="1" customFormat="1" ht="15.75" customHeight="1" x14ac:dyDescent="0.3">
      <c r="A28" s="105"/>
      <c r="B28" s="40" t="str">
        <f>IF('0'!A1=1,"Запорізька","Zaporizhya")</f>
        <v>Запорізька</v>
      </c>
      <c r="C28" s="11">
        <v>106.3</v>
      </c>
      <c r="D28" s="11">
        <v>96.8</v>
      </c>
      <c r="E28" s="11">
        <v>97.1</v>
      </c>
      <c r="F28" s="16">
        <v>96.8</v>
      </c>
      <c r="G28" s="11">
        <v>95.3</v>
      </c>
      <c r="H28" s="16">
        <v>96.9</v>
      </c>
      <c r="I28" s="16">
        <v>106.2</v>
      </c>
      <c r="J28" s="16">
        <v>103.6</v>
      </c>
    </row>
    <row r="29" spans="1:10" s="1" customFormat="1" ht="15.75" customHeight="1" x14ac:dyDescent="0.3">
      <c r="A29" s="105"/>
      <c r="B29" s="40" t="str">
        <f>IF('0'!A1=1,"Івано-Франківська","Ivano-Frankivsk")</f>
        <v>Івано-Франківська</v>
      </c>
      <c r="C29" s="11">
        <v>125.7</v>
      </c>
      <c r="D29" s="11">
        <v>101.2</v>
      </c>
      <c r="E29" s="11">
        <v>95.3</v>
      </c>
      <c r="F29" s="16">
        <v>98.9</v>
      </c>
      <c r="G29" s="11">
        <v>89.1</v>
      </c>
      <c r="H29" s="16">
        <v>95.5</v>
      </c>
      <c r="I29" s="16">
        <v>112</v>
      </c>
      <c r="J29" s="16">
        <v>110.3</v>
      </c>
    </row>
    <row r="30" spans="1:10" s="1" customFormat="1" ht="15.75" customHeight="1" x14ac:dyDescent="0.3">
      <c r="A30" s="105"/>
      <c r="B30" s="40" t="str">
        <f>IF('0'!A1=1,"Київська","Kyiv")</f>
        <v>Київська</v>
      </c>
      <c r="C30" s="11">
        <v>110.6</v>
      </c>
      <c r="D30" s="11">
        <v>96.8</v>
      </c>
      <c r="E30" s="11">
        <v>99.1</v>
      </c>
      <c r="F30" s="16">
        <v>101.6</v>
      </c>
      <c r="G30" s="11">
        <v>93</v>
      </c>
      <c r="H30" s="16">
        <v>106.2</v>
      </c>
      <c r="I30" s="16">
        <v>110.3</v>
      </c>
      <c r="J30" s="16">
        <v>102</v>
      </c>
    </row>
    <row r="31" spans="1:10" s="1" customFormat="1" ht="15.75" customHeight="1" x14ac:dyDescent="0.3">
      <c r="A31" s="105"/>
      <c r="B31" s="40" t="str">
        <f>IF('0'!A1=1,"Кіровоградська","Kirovohrad")</f>
        <v>Кіровоградська</v>
      </c>
      <c r="C31" s="11">
        <v>111</v>
      </c>
      <c r="D31" s="11">
        <v>107.5</v>
      </c>
      <c r="E31" s="11">
        <v>106.6</v>
      </c>
      <c r="F31" s="16">
        <v>100.8</v>
      </c>
      <c r="G31" s="11">
        <v>82.9</v>
      </c>
      <c r="H31" s="16">
        <v>120.3</v>
      </c>
      <c r="I31" s="16">
        <v>105.5</v>
      </c>
      <c r="J31" s="16">
        <v>102.2</v>
      </c>
    </row>
    <row r="32" spans="1:10" s="1" customFormat="1" ht="15.75" customHeight="1" x14ac:dyDescent="0.3">
      <c r="A32" s="105"/>
      <c r="B32" s="40" t="str">
        <f>IF('0'!A1=1,"Луганська","Luhansk")</f>
        <v>Луганська</v>
      </c>
      <c r="C32" s="11">
        <v>115.8</v>
      </c>
      <c r="D32" s="11">
        <v>92.5</v>
      </c>
      <c r="E32" s="11">
        <v>91.1</v>
      </c>
      <c r="F32" s="16">
        <v>58</v>
      </c>
      <c r="G32" s="11">
        <v>34</v>
      </c>
      <c r="H32" s="16">
        <v>139</v>
      </c>
      <c r="I32" s="16">
        <v>69</v>
      </c>
      <c r="J32" s="16">
        <v>83</v>
      </c>
    </row>
    <row r="33" spans="1:10" s="1" customFormat="1" ht="15.75" customHeight="1" x14ac:dyDescent="0.3">
      <c r="A33" s="105"/>
      <c r="B33" s="40" t="str">
        <f>IF('0'!A1=1,"Львівська","Lviv")</f>
        <v>Львівська</v>
      </c>
      <c r="C33" s="11">
        <v>112.8</v>
      </c>
      <c r="D33" s="11">
        <v>101.6</v>
      </c>
      <c r="E33" s="11">
        <v>101.2</v>
      </c>
      <c r="F33" s="16">
        <v>97.2</v>
      </c>
      <c r="G33" s="11">
        <v>98.5</v>
      </c>
      <c r="H33" s="16">
        <v>99.3</v>
      </c>
      <c r="I33" s="16">
        <v>106</v>
      </c>
      <c r="J33" s="16">
        <v>102.4</v>
      </c>
    </row>
    <row r="34" spans="1:10" s="1" customFormat="1" ht="15.75" customHeight="1" x14ac:dyDescent="0.3">
      <c r="A34" s="105"/>
      <c r="B34" s="40" t="str">
        <f>IF('0'!A1=1,"Миколаївська","Mykolayiv")</f>
        <v>Миколаївська</v>
      </c>
      <c r="C34" s="11">
        <v>104.2</v>
      </c>
      <c r="D34" s="11">
        <v>99.5</v>
      </c>
      <c r="E34" s="11">
        <v>96.5</v>
      </c>
      <c r="F34" s="16">
        <v>101.4</v>
      </c>
      <c r="G34" s="11">
        <v>91.1</v>
      </c>
      <c r="H34" s="16">
        <v>110.5</v>
      </c>
      <c r="I34" s="16">
        <v>101.5</v>
      </c>
      <c r="J34" s="16">
        <v>104</v>
      </c>
    </row>
    <row r="35" spans="1:10" s="1" customFormat="1" ht="15.75" customHeight="1" x14ac:dyDescent="0.3">
      <c r="A35" s="105"/>
      <c r="B35" s="40" t="str">
        <f>IF('0'!A1=1,"Одеська","Odesa")</f>
        <v>Одеська</v>
      </c>
      <c r="C35" s="11">
        <v>83.6</v>
      </c>
      <c r="D35" s="11">
        <v>96.9</v>
      </c>
      <c r="E35" s="11">
        <v>100.6</v>
      </c>
      <c r="F35" s="16">
        <v>99.7</v>
      </c>
      <c r="G35" s="11">
        <v>96.1</v>
      </c>
      <c r="H35" s="16">
        <v>109.2</v>
      </c>
      <c r="I35" s="16">
        <v>112.2</v>
      </c>
      <c r="J35" s="16">
        <v>92.4</v>
      </c>
    </row>
    <row r="36" spans="1:10" s="1" customFormat="1" ht="15.75" customHeight="1" x14ac:dyDescent="0.3">
      <c r="A36" s="105"/>
      <c r="B36" s="40" t="str">
        <f>IF('0'!A1=1,"Полтавська","Poltava")</f>
        <v>Полтавська</v>
      </c>
      <c r="C36" s="11">
        <v>99.6</v>
      </c>
      <c r="D36" s="11">
        <v>100</v>
      </c>
      <c r="E36" s="11">
        <v>94.7</v>
      </c>
      <c r="F36" s="16">
        <v>92.9</v>
      </c>
      <c r="G36" s="11">
        <v>96.2</v>
      </c>
      <c r="H36" s="16">
        <v>100.1</v>
      </c>
      <c r="I36" s="16">
        <v>98.9</v>
      </c>
      <c r="J36" s="16">
        <v>101.5</v>
      </c>
    </row>
    <row r="37" spans="1:10" s="1" customFormat="1" ht="15.75" customHeight="1" x14ac:dyDescent="0.3">
      <c r="A37" s="105"/>
      <c r="B37" s="40" t="str">
        <f>IF('0'!A1=1,"Рівненська","Rivne")</f>
        <v>Рівненська</v>
      </c>
      <c r="C37" s="11">
        <v>107.6</v>
      </c>
      <c r="D37" s="11">
        <v>96.7</v>
      </c>
      <c r="E37" s="11">
        <v>91.4</v>
      </c>
      <c r="F37" s="16">
        <v>103.7</v>
      </c>
      <c r="G37" s="11">
        <v>100.3</v>
      </c>
      <c r="H37" s="16">
        <v>98.1</v>
      </c>
      <c r="I37" s="16">
        <v>109.3</v>
      </c>
      <c r="J37" s="16">
        <v>95.6</v>
      </c>
    </row>
    <row r="38" spans="1:10" s="1" customFormat="1" ht="15.75" customHeight="1" x14ac:dyDescent="0.3">
      <c r="A38" s="105"/>
      <c r="B38" s="40" t="str">
        <f>IF('0'!A1=1,"Сумська","Sumy ")</f>
        <v>Сумська</v>
      </c>
      <c r="C38" s="11">
        <v>107.7</v>
      </c>
      <c r="D38" s="11">
        <v>95.6</v>
      </c>
      <c r="E38" s="11">
        <v>107</v>
      </c>
      <c r="F38" s="16">
        <v>88.1</v>
      </c>
      <c r="G38" s="11">
        <v>98.4</v>
      </c>
      <c r="H38" s="16">
        <v>91.2</v>
      </c>
      <c r="I38" s="16">
        <v>101.7</v>
      </c>
      <c r="J38" s="16">
        <v>110.3</v>
      </c>
    </row>
    <row r="39" spans="1:10" ht="15" customHeight="1" x14ac:dyDescent="0.3">
      <c r="A39" s="105"/>
      <c r="B39" s="40" t="str">
        <f>IF('0'!A1=1,"Тернопільська","Ternopil ")</f>
        <v>Тернопільська</v>
      </c>
      <c r="C39" s="11">
        <v>112.4</v>
      </c>
      <c r="D39" s="11">
        <v>102.1</v>
      </c>
      <c r="E39" s="11">
        <v>99.5</v>
      </c>
      <c r="F39" s="16">
        <v>116.5</v>
      </c>
      <c r="G39" s="11">
        <v>92.1</v>
      </c>
      <c r="H39" s="16">
        <v>110.3</v>
      </c>
      <c r="I39" s="16">
        <v>108.5</v>
      </c>
      <c r="J39" s="16">
        <v>98.2</v>
      </c>
    </row>
    <row r="40" spans="1:10" ht="15" customHeight="1" x14ac:dyDescent="0.3">
      <c r="A40" s="105"/>
      <c r="B40" s="40" t="str">
        <f>IF('0'!A1=1,"Харківська","Kharkiv")</f>
        <v>Харківська</v>
      </c>
      <c r="C40" s="11">
        <v>105.5</v>
      </c>
      <c r="D40" s="11">
        <v>97.6</v>
      </c>
      <c r="E40" s="11">
        <v>94.5</v>
      </c>
      <c r="F40" s="16">
        <v>94.8</v>
      </c>
      <c r="G40" s="11">
        <v>88.2</v>
      </c>
      <c r="H40" s="16">
        <v>105.8</v>
      </c>
      <c r="I40" s="16">
        <v>106.1</v>
      </c>
      <c r="J40" s="16">
        <v>102.9</v>
      </c>
    </row>
    <row r="41" spans="1:10" ht="15" customHeight="1" x14ac:dyDescent="0.3">
      <c r="A41" s="105"/>
      <c r="B41" s="40" t="str">
        <f>IF('0'!A1=1,"Херсонська","Kherson")</f>
        <v>Херсонська</v>
      </c>
      <c r="C41" s="11">
        <v>93.1</v>
      </c>
      <c r="D41" s="11">
        <v>104.7</v>
      </c>
      <c r="E41" s="11">
        <v>92.4</v>
      </c>
      <c r="F41" s="16">
        <v>96.4</v>
      </c>
      <c r="G41" s="11">
        <v>98.1</v>
      </c>
      <c r="H41" s="16">
        <v>102</v>
      </c>
      <c r="I41" s="16">
        <v>103.2</v>
      </c>
      <c r="J41" s="16">
        <v>101.1</v>
      </c>
    </row>
    <row r="42" spans="1:10" ht="15" customHeight="1" x14ac:dyDescent="0.3">
      <c r="A42" s="105"/>
      <c r="B42" s="40" t="str">
        <f>IF('0'!A1=1,"Хмельницька","Khmelnytskiy")</f>
        <v>Хмельницька</v>
      </c>
      <c r="C42" s="11">
        <v>109.2</v>
      </c>
      <c r="D42" s="11">
        <v>101.2</v>
      </c>
      <c r="E42" s="11">
        <v>97.6</v>
      </c>
      <c r="F42" s="16">
        <v>97.8</v>
      </c>
      <c r="G42" s="11">
        <v>95.7</v>
      </c>
      <c r="H42" s="16">
        <v>104.7</v>
      </c>
      <c r="I42" s="16">
        <v>101.6</v>
      </c>
      <c r="J42" s="16">
        <v>95.3</v>
      </c>
    </row>
    <row r="43" spans="1:10" ht="15" customHeight="1" x14ac:dyDescent="0.3">
      <c r="A43" s="105"/>
      <c r="B43" s="40" t="str">
        <f>IF('0'!A1=1,"Черкаська","Cherkasy")</f>
        <v>Черкаська</v>
      </c>
      <c r="C43" s="11">
        <v>103.4</v>
      </c>
      <c r="D43" s="11">
        <v>94.9</v>
      </c>
      <c r="E43" s="11">
        <v>95.2</v>
      </c>
      <c r="F43" s="16">
        <v>94.7</v>
      </c>
      <c r="G43" s="11">
        <v>90.8</v>
      </c>
      <c r="H43" s="16">
        <v>106.3</v>
      </c>
      <c r="I43" s="16">
        <v>99.1</v>
      </c>
      <c r="J43" s="16">
        <v>102.3</v>
      </c>
    </row>
    <row r="44" spans="1:10" ht="15" customHeight="1" x14ac:dyDescent="0.3">
      <c r="A44" s="105"/>
      <c r="B44" s="40" t="str">
        <f>IF('0'!A1=1,"Чернівецька","Chernivtsi")</f>
        <v>Чернівецька</v>
      </c>
      <c r="C44" s="11">
        <v>89.6</v>
      </c>
      <c r="D44" s="11">
        <v>86.8</v>
      </c>
      <c r="E44" s="11">
        <v>103.7</v>
      </c>
      <c r="F44" s="16">
        <v>92.9</v>
      </c>
      <c r="G44" s="11">
        <v>98.3</v>
      </c>
      <c r="H44" s="16">
        <v>96.9</v>
      </c>
      <c r="I44" s="16">
        <v>106.7</v>
      </c>
      <c r="J44" s="16">
        <v>105.8</v>
      </c>
    </row>
    <row r="45" spans="1:10" ht="15" customHeight="1" x14ac:dyDescent="0.3">
      <c r="A45" s="105"/>
      <c r="B45" s="40" t="str">
        <f>IF('0'!A1=1,"Чернігівська","Chernihiv")</f>
        <v>Чернігівська</v>
      </c>
      <c r="C45" s="11">
        <v>98</v>
      </c>
      <c r="D45" s="11">
        <v>98.1</v>
      </c>
      <c r="E45" s="11">
        <v>89.6</v>
      </c>
      <c r="F45" s="16">
        <v>97.2</v>
      </c>
      <c r="G45" s="11">
        <v>91.2</v>
      </c>
      <c r="H45" s="16">
        <v>105.8</v>
      </c>
      <c r="I45" s="16">
        <v>96.5</v>
      </c>
      <c r="J45" s="16">
        <v>99.2</v>
      </c>
    </row>
    <row r="46" spans="1:10" ht="15" customHeight="1" x14ac:dyDescent="0.3">
      <c r="A46" s="105"/>
      <c r="B46" s="40" t="str">
        <f>IF('0'!A1=1,"м. Київ","Kyiv")</f>
        <v>м. Київ</v>
      </c>
      <c r="C46" s="11">
        <v>102</v>
      </c>
      <c r="D46" s="11">
        <v>95.9</v>
      </c>
      <c r="E46" s="11">
        <v>89.9</v>
      </c>
      <c r="F46" s="16">
        <v>85.9</v>
      </c>
      <c r="G46" s="11">
        <v>94.6</v>
      </c>
      <c r="H46" s="16">
        <v>104.4</v>
      </c>
      <c r="I46" s="16">
        <v>95.8</v>
      </c>
      <c r="J46" s="16">
        <v>98.1</v>
      </c>
    </row>
    <row r="47" spans="1:10" ht="15" customHeight="1" thickBot="1" x14ac:dyDescent="0.35">
      <c r="A47" s="106"/>
      <c r="B47" s="44" t="str">
        <f>IF('0'!A1=1,"м. Севастополь","Sevastopоl")</f>
        <v>м. Севастополь</v>
      </c>
      <c r="C47" s="11">
        <v>110.4</v>
      </c>
      <c r="D47" s="13">
        <v>95</v>
      </c>
      <c r="E47" s="13">
        <v>112.7</v>
      </c>
      <c r="F47" s="17" t="s">
        <v>0</v>
      </c>
      <c r="G47" s="13" t="s">
        <v>0</v>
      </c>
      <c r="H47" s="17" t="s">
        <v>0</v>
      </c>
      <c r="I47" s="17" t="s">
        <v>0</v>
      </c>
      <c r="J47" s="17" t="s">
        <v>0</v>
      </c>
    </row>
    <row r="48" spans="1:10" ht="20.25" customHeight="1" thickTop="1" x14ac:dyDescent="0.3">
      <c r="A48" s="41"/>
      <c r="B48" s="41"/>
      <c r="C48" s="10"/>
      <c r="D48" s="6"/>
      <c r="E48" s="6"/>
      <c r="F48" s="18"/>
    </row>
    <row r="49" spans="1:11" ht="28.5" customHeight="1" x14ac:dyDescent="0.3">
      <c r="A49" s="98" t="str">
        <f>IF('0'!A1=1,"* Дані наведено без урахування тимчасово окупованої території АР Крим і м.Севастополя; з 2014 року також без частини тимчасово окупованих територій у Донецькій та Луганській областях.","* Data excluding the temporarily occupied territories of the AR of Crimea, the city of Sevastopol; since 2014 part of temporarily occupied territories in the Donetsk and Luhansk regions.")</f>
        <v>* Дані наведено без урахування тимчасово окупованої території АР Крим і м.Севастополя; з 2014 року також без частини тимчасово окупованих територій у Донецькій та Луганській областях.</v>
      </c>
      <c r="B49" s="98"/>
      <c r="C49" s="99"/>
      <c r="D49" s="99"/>
      <c r="E49" s="99"/>
      <c r="F49" s="99"/>
      <c r="G49" s="99"/>
      <c r="H49" s="99"/>
      <c r="I49" s="99"/>
      <c r="J49" s="99"/>
      <c r="K49" s="99"/>
    </row>
    <row r="50" spans="1:11" x14ac:dyDescent="0.3">
      <c r="A50" s="41"/>
      <c r="B50" s="42"/>
      <c r="C50" s="6"/>
      <c r="D50" s="6"/>
      <c r="E50" s="6"/>
      <c r="F50" s="18"/>
    </row>
    <row r="51" spans="1:11" x14ac:dyDescent="0.3">
      <c r="A51" s="41"/>
      <c r="B51" s="41"/>
      <c r="C51" s="9"/>
      <c r="D51" s="9"/>
      <c r="E51" s="9"/>
      <c r="F51" s="18"/>
    </row>
    <row r="52" spans="1:11" x14ac:dyDescent="0.3">
      <c r="A52" s="45"/>
      <c r="B52" s="46"/>
    </row>
    <row r="53" spans="1:11" x14ac:dyDescent="0.3">
      <c r="A53" s="45"/>
      <c r="B53" s="45"/>
    </row>
  </sheetData>
  <mergeCells count="4">
    <mergeCell ref="A3:A20"/>
    <mergeCell ref="A21:A47"/>
    <mergeCell ref="A2:B2"/>
    <mergeCell ref="A49:K49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showGridLines="0" workbookViewId="0">
      <pane xSplit="2" topLeftCell="P1" activePane="topRight" state="frozen"/>
      <selection pane="topRight" activeCell="Y3" sqref="Y3"/>
    </sheetView>
  </sheetViews>
  <sheetFormatPr defaultRowHeight="14.4" x14ac:dyDescent="0.3"/>
  <cols>
    <col min="2" max="2" width="65.109375" customWidth="1"/>
    <col min="3" max="15" width="14" customWidth="1"/>
    <col min="16" max="25" width="12.77734375" customWidth="1"/>
  </cols>
  <sheetData>
    <row r="1" spans="1:25" x14ac:dyDescent="0.3">
      <c r="A1" s="35" t="str">
        <f>IF('0'!A1=1,"до змісту","to title")</f>
        <v>до змісту</v>
      </c>
    </row>
    <row r="2" spans="1:25" ht="23.25" customHeight="1" x14ac:dyDescent="0.35">
      <c r="A2" s="108"/>
      <c r="B2" s="108"/>
      <c r="C2" s="74">
        <v>2001</v>
      </c>
      <c r="D2" s="72">
        <v>2002</v>
      </c>
      <c r="E2" s="72">
        <v>2003</v>
      </c>
      <c r="F2" s="72">
        <v>2004</v>
      </c>
      <c r="G2" s="72">
        <v>2005</v>
      </c>
      <c r="H2" s="72">
        <v>2006</v>
      </c>
      <c r="I2" s="72">
        <v>2007</v>
      </c>
      <c r="J2" s="72">
        <v>2008</v>
      </c>
      <c r="K2" s="72">
        <v>2009</v>
      </c>
      <c r="L2" s="72">
        <v>2010</v>
      </c>
      <c r="M2" s="72">
        <v>2011</v>
      </c>
      <c r="N2" s="72">
        <v>2012</v>
      </c>
      <c r="O2" s="72">
        <v>2013</v>
      </c>
      <c r="P2" s="72">
        <v>2014</v>
      </c>
      <c r="Q2" s="72">
        <v>2015</v>
      </c>
      <c r="R2" s="72">
        <v>2016</v>
      </c>
      <c r="S2" s="72">
        <v>2017</v>
      </c>
      <c r="T2" s="72">
        <v>2018</v>
      </c>
      <c r="U2" s="72">
        <v>2019</v>
      </c>
      <c r="V2" s="72">
        <v>2020</v>
      </c>
      <c r="W2" s="72">
        <v>2021</v>
      </c>
      <c r="X2" s="72">
        <v>2022</v>
      </c>
      <c r="Y2" s="72">
        <v>2023</v>
      </c>
    </row>
    <row r="3" spans="1:25" ht="22.5" customHeight="1" x14ac:dyDescent="0.35">
      <c r="A3" s="107" t="str">
        <f>IF('0'!A1=1,"Обсяг промислової продукції, млн.грн. *","Volume of industrial products, mln.hrn*")</f>
        <v>Обсяг промислової продукції, млн.грн. *</v>
      </c>
      <c r="B3" s="107"/>
      <c r="C3" s="75">
        <v>210842.7</v>
      </c>
      <c r="D3" s="73">
        <v>229634.4</v>
      </c>
      <c r="E3" s="73">
        <v>289117.3</v>
      </c>
      <c r="F3" s="73">
        <v>400757.1</v>
      </c>
      <c r="G3" s="73">
        <v>468562.6</v>
      </c>
      <c r="H3" s="73">
        <v>551729</v>
      </c>
      <c r="I3" s="73">
        <v>717076.7</v>
      </c>
      <c r="J3" s="73">
        <v>917035.5</v>
      </c>
      <c r="K3" s="73">
        <v>806550.6</v>
      </c>
      <c r="L3" s="73">
        <v>1043110.8</v>
      </c>
      <c r="M3" s="73">
        <v>1305308</v>
      </c>
      <c r="N3" s="73">
        <v>1367925.5</v>
      </c>
      <c r="O3" s="73">
        <v>1322408.3999999999</v>
      </c>
      <c r="P3" s="73">
        <v>1428839.1</v>
      </c>
      <c r="Q3" s="73">
        <v>1776603.7</v>
      </c>
      <c r="R3" s="73">
        <v>2158030</v>
      </c>
      <c r="S3" s="73">
        <v>2625862.7000000002</v>
      </c>
      <c r="T3" s="73">
        <v>3045201.9</v>
      </c>
      <c r="U3" s="73">
        <v>3019383.1</v>
      </c>
      <c r="V3" s="73">
        <v>3236369.1</v>
      </c>
      <c r="W3" s="73">
        <v>4678908.5999999996</v>
      </c>
      <c r="X3" s="73">
        <v>3854040.1</v>
      </c>
      <c r="Y3" s="73">
        <v>4397685.5</v>
      </c>
    </row>
    <row r="4" spans="1:25" s="1" customFormat="1" ht="37.5" customHeight="1" x14ac:dyDescent="0.35">
      <c r="A4" s="107" t="str">
        <f>IF('0'!A1=1,"Індекси промислової продукції ( % до попереднього року), 2010=100% *","Іndexes of industrial products (% to previous year), 2010=100%*")</f>
        <v>Індекси промислової продукції ( % до попереднього року), 2010=100% *</v>
      </c>
      <c r="B4" s="107"/>
      <c r="C4" s="75">
        <v>114.2</v>
      </c>
      <c r="D4" s="73">
        <v>107</v>
      </c>
      <c r="E4" s="73">
        <v>115.8</v>
      </c>
      <c r="F4" s="73">
        <v>112.5</v>
      </c>
      <c r="G4" s="73">
        <v>103.1</v>
      </c>
      <c r="H4" s="73">
        <v>106.2</v>
      </c>
      <c r="I4" s="73">
        <v>107.1</v>
      </c>
      <c r="J4" s="73">
        <v>95</v>
      </c>
      <c r="K4" s="73">
        <v>79.400000000000006</v>
      </c>
      <c r="L4" s="73">
        <v>112</v>
      </c>
      <c r="M4" s="73">
        <v>108</v>
      </c>
      <c r="N4" s="73">
        <v>99.3</v>
      </c>
      <c r="O4" s="73">
        <v>95.7</v>
      </c>
      <c r="P4" s="73">
        <v>89.9</v>
      </c>
      <c r="Q4" s="73">
        <v>87</v>
      </c>
      <c r="R4" s="73">
        <v>102.8</v>
      </c>
      <c r="S4" s="73">
        <v>100.4</v>
      </c>
      <c r="T4" s="73">
        <v>101.6</v>
      </c>
      <c r="U4" s="79" t="s">
        <v>0</v>
      </c>
      <c r="V4" s="79" t="s">
        <v>0</v>
      </c>
      <c r="W4" s="79" t="s">
        <v>0</v>
      </c>
      <c r="X4" s="79" t="s">
        <v>0</v>
      </c>
      <c r="Y4" s="79" t="s">
        <v>0</v>
      </c>
    </row>
    <row r="5" spans="1:25" s="1" customFormat="1" ht="45" customHeight="1" x14ac:dyDescent="0.35">
      <c r="A5" s="107" t="str">
        <f>IF('0'!A1=1,"Індекси промислової продукції ( % до попереднього року), 2016=100% *","Іndexes of industrial products (% to previous year), 2016=100%*")</f>
        <v>Індекси промислової продукції ( % до попереднього року), 2016=100% *</v>
      </c>
      <c r="B5" s="107"/>
      <c r="C5" s="79" t="s">
        <v>0</v>
      </c>
      <c r="D5" s="79" t="s">
        <v>0</v>
      </c>
      <c r="E5" s="79" t="s">
        <v>0</v>
      </c>
      <c r="F5" s="79" t="s">
        <v>0</v>
      </c>
      <c r="G5" s="79" t="s">
        <v>0</v>
      </c>
      <c r="H5" s="79" t="s">
        <v>0</v>
      </c>
      <c r="I5" s="79" t="s">
        <v>0</v>
      </c>
      <c r="J5" s="79" t="s">
        <v>0</v>
      </c>
      <c r="K5" s="79" t="s">
        <v>0</v>
      </c>
      <c r="L5" s="79" t="s">
        <v>0</v>
      </c>
      <c r="M5" s="79" t="s">
        <v>0</v>
      </c>
      <c r="N5" s="79" t="s">
        <v>0</v>
      </c>
      <c r="O5" s="73">
        <v>95.7</v>
      </c>
      <c r="P5" s="73">
        <v>89.9</v>
      </c>
      <c r="Q5" s="79">
        <v>87.7</v>
      </c>
      <c r="R5" s="79">
        <v>104</v>
      </c>
      <c r="S5" s="79">
        <v>101.1</v>
      </c>
      <c r="T5" s="79">
        <v>103</v>
      </c>
      <c r="U5" s="79">
        <v>99.5</v>
      </c>
      <c r="V5" s="79">
        <v>95.5</v>
      </c>
      <c r="W5" s="79">
        <v>101.9</v>
      </c>
      <c r="X5" s="79">
        <v>63.3</v>
      </c>
      <c r="Y5" s="79">
        <v>106.8</v>
      </c>
    </row>
    <row r="6" spans="1:25" s="1" customFormat="1" ht="22.5" customHeight="1" x14ac:dyDescent="0.3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5" ht="28.5" customHeight="1" x14ac:dyDescent="0.3">
      <c r="A7" s="109" t="str">
        <f>IF('0'!A1=1,"Примітка: починаючи з 2015 року індекси переглянуті у зв'язку зі зміною базисного року (2016=100%).","Note: since 2015 indices revised in connection with the change of the base year (2016 = 100%).")</f>
        <v>Примітка: починаючи з 2015 року індекси переглянуті у зв'язку зі зміною базисного року (2016=100%).</v>
      </c>
      <c r="B7" s="109"/>
      <c r="C7" s="80"/>
      <c r="D7" s="80"/>
    </row>
    <row r="8" spans="1:25" ht="46.5" customHeight="1" x14ac:dyDescent="0.3">
      <c r="A8" s="109" t="str">
        <f>IF('0'!A1=1,"* З 2010р. дані наведено без урахування тимчасово окупованої території Автономної Республіки Крим, м.Севастополя, за 2014-2019 рр. також без урахування частини тимчасово окупованих територій у Донецькій та Луганській областях.","* Since 2010 data excluding the temporarily occupied territories of the AR of Crimea, the city of Sevastopol and 2014-2018 part of temporarily occupied territories in the Donetsk and Luhansk regions.")</f>
        <v>* З 2010р. дані наведено без урахування тимчасово окупованої території Автономної Республіки Крим, м.Севастополя, за 2014-2019 рр. також без урахування частини тимчасово окупованих територій у Донецькій та Луганській областях.</v>
      </c>
      <c r="B8" s="109"/>
      <c r="C8" s="110"/>
      <c r="D8" s="110"/>
    </row>
    <row r="10" spans="1:25" ht="15" customHeight="1" x14ac:dyDescent="0.3">
      <c r="A10" s="98"/>
      <c r="B10" s="98"/>
      <c r="C10" s="98"/>
      <c r="D10" s="98"/>
    </row>
    <row r="11" spans="1:25" x14ac:dyDescent="0.3">
      <c r="A11" s="62"/>
      <c r="B11" s="62"/>
      <c r="C11" s="62"/>
      <c r="D11" s="62"/>
    </row>
    <row r="12" spans="1:25" x14ac:dyDescent="0.3">
      <c r="A12" s="109" t="str">
        <f>IF('0'!A1=1,"Джерело:","Source:")</f>
        <v>Джерело:</v>
      </c>
      <c r="B12" s="109"/>
    </row>
    <row r="13" spans="1:25" x14ac:dyDescent="0.3">
      <c r="A13" s="63" t="s">
        <v>8</v>
      </c>
    </row>
    <row r="15" spans="1:25" x14ac:dyDescent="0.3">
      <c r="A15" s="1"/>
    </row>
  </sheetData>
  <sheetProtection password="CF16" sheet="1" objects="1" scenarios="1"/>
  <mergeCells count="9">
    <mergeCell ref="A3:B3"/>
    <mergeCell ref="A4:B4"/>
    <mergeCell ref="A2:B2"/>
    <mergeCell ref="A12:B12"/>
    <mergeCell ref="A8:D8"/>
    <mergeCell ref="A10:B10"/>
    <mergeCell ref="C10:D10"/>
    <mergeCell ref="A5:B5"/>
    <mergeCell ref="A7:B7"/>
  </mergeCells>
  <hyperlinks>
    <hyperlink ref="A1" location="'0'!A1" display="'0'!A1"/>
    <hyperlink ref="A1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ОПП_2001-2023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</dc:creator>
  <cp:lastModifiedBy>Кучман Наталія Михайлівна</cp:lastModifiedBy>
  <cp:lastPrinted>2015-09-25T12:18:48Z</cp:lastPrinted>
  <dcterms:created xsi:type="dcterms:W3CDTF">2015-09-15T08:13:43Z</dcterms:created>
  <dcterms:modified xsi:type="dcterms:W3CDTF">2024-08-22T08:10:29Z</dcterms:modified>
</cp:coreProperties>
</file>